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uniandes-my.sharepoint.com/personal/jf_sanchezl_uniandes_edu_co/Documents/FERNANDA/SFE -  SERVICIOS FINANCIEROS/SIMULADORES DE CRÉDITO/"/>
    </mc:Choice>
  </mc:AlternateContent>
  <xr:revisionPtr revIDLastSave="1860" documentId="8_{7CB20855-398F-43BA-8818-A96C9169AAEC}" xr6:coauthVersionLast="47" xr6:coauthVersionMax="47" xr10:uidLastSave="{154AE2AB-C0D4-460D-B587-58ACA2E04762}"/>
  <bookViews>
    <workbookView xWindow="-120" yWindow="-120" windowWidth="29040" windowHeight="15720" tabRatio="700" xr2:uid="{00000000-000D-0000-FFFF-FFFF00000000}"/>
  </bookViews>
  <sheets>
    <sheet name="Simulador" sheetId="4" r:id="rId1"/>
    <sheet name="PP (40%)" sheetId="6" state="hidden" r:id="rId2"/>
  </sheets>
  <definedNames>
    <definedName name="_xlnm._FilterDatabase" localSheetId="0" hidden="1">Simulador!$A$33:$Z$33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D25" i="4"/>
  <c r="D12" i="6"/>
  <c r="D10" i="6"/>
  <c r="D9" i="6"/>
  <c r="C18" i="4" l="1"/>
  <c r="D16" i="6" l="1"/>
  <c r="S43" i="4"/>
  <c r="W39" i="4"/>
  <c r="V39" i="4"/>
  <c r="U39" i="4"/>
  <c r="T39" i="4"/>
  <c r="S39" i="4"/>
  <c r="W38" i="4"/>
  <c r="V38" i="4"/>
  <c r="U38" i="4"/>
  <c r="T38" i="4"/>
  <c r="S38" i="4"/>
  <c r="D12" i="4" l="1"/>
  <c r="D14" i="4" l="1"/>
  <c r="D13" i="6" s="1"/>
  <c r="D11" i="6"/>
  <c r="G8" i="4"/>
  <c r="G9" i="4" s="1"/>
  <c r="G10" i="4" s="1"/>
  <c r="D16" i="4"/>
  <c r="D15" i="6" s="1"/>
  <c r="D15" i="4"/>
  <c r="D14" i="6" s="1"/>
  <c r="H14" i="6" l="1"/>
  <c r="H11" i="6"/>
  <c r="H13" i="6"/>
  <c r="H10" i="6"/>
  <c r="H12" i="6"/>
  <c r="K9" i="6"/>
  <c r="H8" i="4"/>
  <c r="F10" i="6" l="1"/>
  <c r="K10" i="6" s="1"/>
  <c r="I10" i="6"/>
  <c r="J10" i="6" s="1"/>
  <c r="L8" i="4" s="1"/>
  <c r="G10" i="6"/>
  <c r="G11" i="6" s="1"/>
  <c r="G12" i="6" s="1"/>
  <c r="G13" i="6" s="1"/>
  <c r="G14" i="6" s="1"/>
  <c r="K8" i="4" s="1"/>
  <c r="H15" i="6"/>
  <c r="J8" i="4"/>
  <c r="I8" i="4"/>
  <c r="H9" i="4"/>
  <c r="H10" i="4"/>
  <c r="I10" i="4" s="1"/>
  <c r="K27" i="6" s="1"/>
  <c r="G11" i="4"/>
  <c r="G12" i="4"/>
  <c r="G19" i="6" l="1"/>
  <c r="F28" i="6"/>
  <c r="I11" i="6"/>
  <c r="J11" i="6" s="1"/>
  <c r="F11" i="6"/>
  <c r="K11" i="6" s="1"/>
  <c r="J9" i="4"/>
  <c r="I9" i="4"/>
  <c r="K18" i="6" s="1"/>
  <c r="J10" i="4"/>
  <c r="G14" i="4"/>
  <c r="H12" i="4"/>
  <c r="I12" i="4" s="1"/>
  <c r="K45" i="6" s="1"/>
  <c r="H11" i="4"/>
  <c r="I11" i="4" s="1"/>
  <c r="K36" i="6" s="1"/>
  <c r="G13" i="4"/>
  <c r="H100" i="6" l="1"/>
  <c r="H77" i="6"/>
  <c r="H57" i="6"/>
  <c r="H37" i="6"/>
  <c r="H76" i="6"/>
  <c r="H56" i="6"/>
  <c r="H95" i="6"/>
  <c r="H75" i="6"/>
  <c r="H55" i="6"/>
  <c r="H32" i="6"/>
  <c r="H94" i="6"/>
  <c r="H74" i="6"/>
  <c r="H31" i="6"/>
  <c r="H85" i="6"/>
  <c r="H65" i="6"/>
  <c r="H104" i="6"/>
  <c r="H84" i="6"/>
  <c r="H64" i="6"/>
  <c r="H41" i="6"/>
  <c r="H103" i="6"/>
  <c r="H83" i="6"/>
  <c r="H40" i="6"/>
  <c r="H102" i="6"/>
  <c r="H82" i="6"/>
  <c r="H59" i="6"/>
  <c r="H39" i="6"/>
  <c r="H58" i="6"/>
  <c r="H113" i="6"/>
  <c r="H93" i="6"/>
  <c r="H73" i="6"/>
  <c r="H50" i="6"/>
  <c r="H30" i="6"/>
  <c r="H112" i="6"/>
  <c r="H92" i="6"/>
  <c r="H49" i="6"/>
  <c r="H29" i="6"/>
  <c r="H111" i="6"/>
  <c r="H91" i="6"/>
  <c r="H68" i="6"/>
  <c r="H48" i="6"/>
  <c r="H28" i="6"/>
  <c r="K28" i="6" s="1"/>
  <c r="H110" i="6"/>
  <c r="H67" i="6"/>
  <c r="H47" i="6"/>
  <c r="H109" i="6"/>
  <c r="H86" i="6"/>
  <c r="H66" i="6"/>
  <c r="H46" i="6"/>
  <c r="H101" i="6"/>
  <c r="H38" i="6"/>
  <c r="F37" i="6"/>
  <c r="F46" i="6"/>
  <c r="H14" i="4"/>
  <c r="I14" i="4" s="1"/>
  <c r="K63" i="6" s="1"/>
  <c r="H19" i="6"/>
  <c r="I19" i="6"/>
  <c r="H23" i="6"/>
  <c r="H22" i="6"/>
  <c r="H21" i="6"/>
  <c r="H20" i="6"/>
  <c r="G20" i="6" s="1"/>
  <c r="I12" i="6"/>
  <c r="J12" i="6" s="1"/>
  <c r="F12" i="6"/>
  <c r="K12" i="6" s="1"/>
  <c r="F19" i="6"/>
  <c r="J11" i="4"/>
  <c r="J12" i="4"/>
  <c r="G15" i="4"/>
  <c r="G16" i="4" s="1"/>
  <c r="H13" i="4"/>
  <c r="I13" i="4" s="1"/>
  <c r="K54" i="6" s="1"/>
  <c r="H96" i="6" l="1"/>
  <c r="H87" i="6"/>
  <c r="H42" i="6"/>
  <c r="F55" i="6"/>
  <c r="K55" i="6" s="1"/>
  <c r="H51" i="6"/>
  <c r="H105" i="6"/>
  <c r="F64" i="6"/>
  <c r="K64" i="6" s="1"/>
  <c r="H114" i="6"/>
  <c r="H78" i="6"/>
  <c r="K46" i="6"/>
  <c r="H60" i="6"/>
  <c r="F29" i="6"/>
  <c r="K29" i="6" s="1"/>
  <c r="H69" i="6"/>
  <c r="H33" i="6"/>
  <c r="K37" i="6"/>
  <c r="J14" i="4"/>
  <c r="G17" i="4"/>
  <c r="G21" i="6"/>
  <c r="G22" i="6" s="1"/>
  <c r="G23" i="6" s="1"/>
  <c r="H24" i="6"/>
  <c r="K19" i="6"/>
  <c r="I20" i="6" s="1"/>
  <c r="J20" i="6" s="1"/>
  <c r="I13" i="6"/>
  <c r="F13" i="6"/>
  <c r="K13" i="6" s="1"/>
  <c r="J19" i="6"/>
  <c r="L9" i="4" s="1"/>
  <c r="J13" i="4"/>
  <c r="H15" i="4"/>
  <c r="I15" i="4" s="1"/>
  <c r="K72" i="6" s="1"/>
  <c r="F73" i="6" s="1"/>
  <c r="K73" i="6" s="1"/>
  <c r="F74" i="6" s="1"/>
  <c r="K74" i="6" s="1"/>
  <c r="F75" i="6" s="1"/>
  <c r="K75" i="6" s="1"/>
  <c r="F76" i="6" s="1"/>
  <c r="K76" i="6" s="1"/>
  <c r="F77" i="6" s="1"/>
  <c r="K77" i="6" s="1"/>
  <c r="G28" i="6" l="1"/>
  <c r="K9" i="4"/>
  <c r="F30" i="6"/>
  <c r="K30" i="6" s="1"/>
  <c r="F65" i="6"/>
  <c r="K65" i="6" s="1"/>
  <c r="F38" i="6"/>
  <c r="K38" i="6" s="1"/>
  <c r="F47" i="6"/>
  <c r="K47" i="6" s="1"/>
  <c r="F56" i="6"/>
  <c r="K56" i="6" s="1"/>
  <c r="H17" i="4"/>
  <c r="J17" i="4" s="1"/>
  <c r="F20" i="6"/>
  <c r="K20" i="6" s="1"/>
  <c r="I21" i="6" s="1"/>
  <c r="I14" i="6"/>
  <c r="J14" i="6" s="1"/>
  <c r="F14" i="6"/>
  <c r="K14" i="6" s="1"/>
  <c r="J13" i="6"/>
  <c r="J15" i="4"/>
  <c r="I28" i="6" l="1"/>
  <c r="J28" i="6" s="1"/>
  <c r="L10" i="4" s="1"/>
  <c r="G29" i="6"/>
  <c r="G30" i="6" s="1"/>
  <c r="F39" i="6"/>
  <c r="K39" i="6" s="1"/>
  <c r="F57" i="6"/>
  <c r="K57" i="6" s="1"/>
  <c r="F48" i="6"/>
  <c r="K48" i="6" s="1"/>
  <c r="F66" i="6"/>
  <c r="K66" i="6" s="1"/>
  <c r="F31" i="6"/>
  <c r="K31" i="6" s="1"/>
  <c r="I17" i="4"/>
  <c r="K90" i="6" s="1"/>
  <c r="F91" i="6" s="1"/>
  <c r="K91" i="6" s="1"/>
  <c r="F92" i="6" s="1"/>
  <c r="K92" i="6" s="1"/>
  <c r="F93" i="6" s="1"/>
  <c r="K93" i="6" s="1"/>
  <c r="F94" i="6" s="1"/>
  <c r="K94" i="6" s="1"/>
  <c r="F95" i="6" s="1"/>
  <c r="K95" i="6" s="1"/>
  <c r="F21" i="6"/>
  <c r="K21" i="6" s="1"/>
  <c r="I22" i="6" s="1"/>
  <c r="J22" i="6" s="1"/>
  <c r="J21" i="6"/>
  <c r="I29" i="6" l="1"/>
  <c r="J29" i="6" s="1"/>
  <c r="F40" i="6"/>
  <c r="K40" i="6" s="1"/>
  <c r="F32" i="6"/>
  <c r="K32" i="6" s="1"/>
  <c r="F67" i="6"/>
  <c r="K67" i="6" s="1"/>
  <c r="F49" i="6"/>
  <c r="K49" i="6" s="1"/>
  <c r="F58" i="6"/>
  <c r="K58" i="6" s="1"/>
  <c r="G31" i="6"/>
  <c r="I30" i="6"/>
  <c r="F22" i="6"/>
  <c r="K22" i="6" s="1"/>
  <c r="I23" i="6" s="1"/>
  <c r="J15" i="6"/>
  <c r="I15" i="6"/>
  <c r="F41" i="6" l="1"/>
  <c r="K41" i="6" s="1"/>
  <c r="J30" i="6"/>
  <c r="G32" i="6"/>
  <c r="K10" i="4" s="1"/>
  <c r="I31" i="6"/>
  <c r="J31" i="6" s="1"/>
  <c r="F59" i="6"/>
  <c r="K59" i="6" s="1"/>
  <c r="F50" i="6"/>
  <c r="K50" i="6" s="1"/>
  <c r="F68" i="6"/>
  <c r="K68" i="6" s="1"/>
  <c r="F23" i="6"/>
  <c r="K23" i="6" s="1"/>
  <c r="J23" i="6"/>
  <c r="G37" i="6" l="1"/>
  <c r="I32" i="6"/>
  <c r="I24" i="6"/>
  <c r="J24" i="6"/>
  <c r="J32" i="6" l="1"/>
  <c r="J33" i="6" l="1"/>
  <c r="G38" i="6"/>
  <c r="I37" i="6"/>
  <c r="I33" i="6"/>
  <c r="G39" i="6" l="1"/>
  <c r="I38" i="6"/>
  <c r="J38" i="6" s="1"/>
  <c r="J37" i="6"/>
  <c r="L11" i="4" s="1"/>
  <c r="G40" i="6" l="1"/>
  <c r="I39" i="6"/>
  <c r="J39" i="6" l="1"/>
  <c r="G41" i="6"/>
  <c r="I40" i="6"/>
  <c r="J40" i="6" s="1"/>
  <c r="G46" i="6" l="1"/>
  <c r="K11" i="4"/>
  <c r="I41" i="6"/>
  <c r="J41" i="6" s="1"/>
  <c r="I46" i="6" l="1"/>
  <c r="J46" i="6" s="1"/>
  <c r="L12" i="4" s="1"/>
  <c r="J42" i="6"/>
  <c r="I42" i="6"/>
  <c r="G47" i="6"/>
  <c r="G48" i="6" l="1"/>
  <c r="I47" i="6"/>
  <c r="J47" i="6" l="1"/>
  <c r="G49" i="6"/>
  <c r="I48" i="6"/>
  <c r="J48" i="6" s="1"/>
  <c r="G50" i="6" l="1"/>
  <c r="I49" i="6"/>
  <c r="J49" i="6" s="1"/>
  <c r="G55" i="6" l="1"/>
  <c r="K12" i="4"/>
  <c r="I50" i="6"/>
  <c r="J50" i="6" l="1"/>
  <c r="J51" i="6" l="1"/>
  <c r="G56" i="6"/>
  <c r="I55" i="6"/>
  <c r="I51" i="6"/>
  <c r="J55" i="6" l="1"/>
  <c r="L13" i="4" s="1"/>
  <c r="G57" i="6"/>
  <c r="I56" i="6"/>
  <c r="J56" i="6" s="1"/>
  <c r="G58" i="6" l="1"/>
  <c r="I57" i="6"/>
  <c r="J57" i="6" s="1"/>
  <c r="G59" i="6" l="1"/>
  <c r="I58" i="6"/>
  <c r="G64" i="6" l="1"/>
  <c r="K13" i="4"/>
  <c r="J58" i="6"/>
  <c r="I59" i="6"/>
  <c r="J59" i="6" s="1"/>
  <c r="J60" i="6" l="1"/>
  <c r="I60" i="6" l="1"/>
  <c r="G65" i="6"/>
  <c r="I64" i="6"/>
  <c r="G66" i="6" l="1"/>
  <c r="I65" i="6"/>
  <c r="J65" i="6" s="1"/>
  <c r="J64" i="6"/>
  <c r="L14" i="4" s="1"/>
  <c r="G67" i="6" l="1"/>
  <c r="I66" i="6"/>
  <c r="J66" i="6" l="1"/>
  <c r="G68" i="6"/>
  <c r="K14" i="4" s="1"/>
  <c r="I67" i="6"/>
  <c r="J67" i="6" s="1"/>
  <c r="G73" i="6" l="1"/>
  <c r="I68" i="6"/>
  <c r="J68" i="6" s="1"/>
  <c r="G74" i="6" l="1"/>
  <c r="I73" i="6"/>
  <c r="J69" i="6"/>
  <c r="I69" i="6"/>
  <c r="J73" i="6" l="1"/>
  <c r="L15" i="4" s="1"/>
  <c r="G75" i="6"/>
  <c r="I74" i="6"/>
  <c r="J74" i="6" s="1"/>
  <c r="G76" i="6" l="1"/>
  <c r="I75" i="6"/>
  <c r="J75" i="6" s="1"/>
  <c r="G77" i="6" l="1"/>
  <c r="K15" i="4" s="1"/>
  <c r="I76" i="6"/>
  <c r="J76" i="6" l="1"/>
  <c r="I77" i="6"/>
  <c r="J77" i="6" s="1"/>
  <c r="J78" i="6" l="1"/>
  <c r="I78" i="6" l="1"/>
  <c r="G18" i="4" l="1"/>
  <c r="H16" i="4"/>
  <c r="G82" i="6" s="1"/>
  <c r="G19" i="4"/>
  <c r="H19" i="4" l="1"/>
  <c r="J19" i="4" s="1"/>
  <c r="H18" i="4"/>
  <c r="I18" i="4" s="1"/>
  <c r="K99" i="6" s="1"/>
  <c r="F100" i="6" s="1"/>
  <c r="K100" i="6" s="1"/>
  <c r="F101" i="6" s="1"/>
  <c r="K101" i="6" s="1"/>
  <c r="F102" i="6" s="1"/>
  <c r="K102" i="6" s="1"/>
  <c r="F103" i="6" s="1"/>
  <c r="K103" i="6" s="1"/>
  <c r="F104" i="6" s="1"/>
  <c r="K104" i="6" s="1"/>
  <c r="J16" i="4"/>
  <c r="I16" i="4"/>
  <c r="K81" i="6" s="1"/>
  <c r="F82" i="6" l="1"/>
  <c r="K82" i="6" s="1"/>
  <c r="F83" i="6" s="1"/>
  <c r="K83" i="6" s="1"/>
  <c r="F84" i="6" s="1"/>
  <c r="K84" i="6" s="1"/>
  <c r="F85" i="6" s="1"/>
  <c r="K85" i="6" s="1"/>
  <c r="F86" i="6" s="1"/>
  <c r="K86" i="6" s="1"/>
  <c r="I82" i="6"/>
  <c r="J18" i="4"/>
  <c r="I19" i="4"/>
  <c r="K108" i="6" s="1"/>
  <c r="F109" i="6" s="1"/>
  <c r="K109" i="6" s="1"/>
  <c r="F110" i="6" s="1"/>
  <c r="K110" i="6" s="1"/>
  <c r="F111" i="6" s="1"/>
  <c r="K111" i="6" s="1"/>
  <c r="F112" i="6" s="1"/>
  <c r="K112" i="6" s="1"/>
  <c r="F113" i="6" s="1"/>
  <c r="K113" i="6" s="1"/>
  <c r="G83" i="6" l="1"/>
  <c r="I83" i="6" s="1"/>
  <c r="J83" i="6" s="1"/>
  <c r="J82" i="6"/>
  <c r="L16" i="4" s="1"/>
  <c r="G84" i="6" l="1"/>
  <c r="I84" i="6" s="1"/>
  <c r="G85" i="6" l="1"/>
  <c r="I85" i="6" s="1"/>
  <c r="J85" i="6" s="1"/>
  <c r="J84" i="6"/>
  <c r="G86" i="6" l="1"/>
  <c r="K16" i="4" s="1"/>
  <c r="G91" i="6" l="1"/>
  <c r="I86" i="6"/>
  <c r="J86" i="6" s="1"/>
  <c r="I87" i="6" l="1"/>
  <c r="J87" i="6"/>
  <c r="I91" i="6"/>
  <c r="G92" i="6"/>
  <c r="J91" i="6" l="1"/>
  <c r="L17" i="4" s="1"/>
  <c r="I92" i="6"/>
  <c r="J92" i="6" s="1"/>
  <c r="G93" i="6"/>
  <c r="I93" i="6" l="1"/>
  <c r="G94" i="6"/>
  <c r="I94" i="6" l="1"/>
  <c r="J94" i="6" s="1"/>
  <c r="G95" i="6"/>
  <c r="K17" i="4" s="1"/>
  <c r="J93" i="6"/>
  <c r="G100" i="6" l="1"/>
  <c r="I95" i="6"/>
  <c r="J95" i="6" l="1"/>
  <c r="I96" i="6" l="1"/>
  <c r="J96" i="6"/>
  <c r="I100" i="6"/>
  <c r="G101" i="6"/>
  <c r="G102" i="6" l="1"/>
  <c r="I101" i="6"/>
  <c r="J101" i="6" s="1"/>
  <c r="J100" i="6"/>
  <c r="L18" i="4" s="1"/>
  <c r="G103" i="6" l="1"/>
  <c r="I102" i="6"/>
  <c r="J102" i="6" l="1"/>
  <c r="G104" i="6"/>
  <c r="I103" i="6"/>
  <c r="J103" i="6" s="1"/>
  <c r="G109" i="6" l="1"/>
  <c r="K18" i="4"/>
  <c r="I104" i="6"/>
  <c r="J104" i="6" l="1"/>
  <c r="I105" i="6" l="1"/>
  <c r="I109" i="6"/>
  <c r="J109" i="6" s="1"/>
  <c r="L19" i="4" s="1"/>
  <c r="J105" i="6"/>
  <c r="G110" i="6"/>
  <c r="G111" i="6" l="1"/>
  <c r="I110" i="6"/>
  <c r="J110" i="6" l="1"/>
  <c r="G112" i="6"/>
  <c r="I111" i="6"/>
  <c r="J111" i="6" s="1"/>
  <c r="G113" i="6" l="1"/>
  <c r="I112" i="6"/>
  <c r="K19" i="4" l="1"/>
  <c r="D23" i="4" s="1"/>
  <c r="I113" i="6"/>
  <c r="J113" i="6" s="1"/>
  <c r="J112" i="6"/>
  <c r="J26" i="4" l="1"/>
  <c r="I114" i="6"/>
  <c r="J114" i="6"/>
  <c r="H28" i="4" l="1"/>
  <c r="J27" i="4"/>
  <c r="D26" i="4"/>
  <c r="I28" i="4" s="1"/>
  <c r="H26" i="4"/>
  <c r="I26" i="4" s="1"/>
  <c r="G28" i="4" l="1"/>
  <c r="J28" i="4" s="1"/>
  <c r="L29" i="4" s="1"/>
  <c r="H29" i="4" l="1"/>
  <c r="I29" i="4"/>
  <c r="G29" i="4" l="1"/>
  <c r="J29" i="4" s="1"/>
  <c r="H30" i="4" s="1"/>
  <c r="L30" i="4" l="1"/>
  <c r="I30" i="4"/>
  <c r="G30" i="4" s="1"/>
  <c r="J30" i="4" l="1"/>
  <c r="H31" i="4" s="1"/>
  <c r="L31" i="4" l="1"/>
  <c r="I31" i="4"/>
  <c r="G31" i="4" s="1"/>
  <c r="J31" i="4" l="1"/>
  <c r="H32" i="4" s="1"/>
  <c r="I32" i="4" l="1"/>
  <c r="G32" i="4" s="1"/>
  <c r="L32" i="4"/>
  <c r="J32" i="4" l="1"/>
  <c r="I33" i="4" s="1"/>
  <c r="H33" i="4" l="1"/>
  <c r="G33" i="4" s="1"/>
  <c r="L33" i="4"/>
  <c r="J33" i="4" l="1"/>
  <c r="I34" i="4" s="1"/>
  <c r="H34" i="4" l="1"/>
  <c r="G34" i="4" s="1"/>
  <c r="L34" i="4"/>
  <c r="J34" i="4" l="1"/>
  <c r="L35" i="4" s="1"/>
  <c r="H35" i="4" l="1"/>
  <c r="I35" i="4"/>
  <c r="G35" i="4" l="1"/>
  <c r="J35" i="4" s="1"/>
  <c r="I36" i="4" s="1"/>
  <c r="H36" i="4" l="1"/>
  <c r="G36" i="4" s="1"/>
  <c r="L36" i="4"/>
  <c r="J36" i="4" l="1"/>
  <c r="I37" i="4" s="1"/>
  <c r="H37" i="4" l="1"/>
  <c r="G37" i="4" s="1"/>
  <c r="L37" i="4"/>
  <c r="J37" i="4" l="1"/>
  <c r="I38" i="4" s="1"/>
  <c r="H38" i="4" l="1"/>
  <c r="G38" i="4" s="1"/>
  <c r="L38" i="4"/>
  <c r="J38" i="4" l="1"/>
  <c r="L39" i="4" s="1"/>
  <c r="I39" i="4" l="1"/>
  <c r="H39" i="4"/>
  <c r="G39" i="4" l="1"/>
  <c r="J39" i="4" s="1"/>
  <c r="H40" i="4" s="1"/>
  <c r="L40" i="4" l="1"/>
  <c r="I40" i="4"/>
  <c r="G40" i="4" s="1"/>
  <c r="J40" i="4" l="1"/>
  <c r="L41" i="4" s="1"/>
  <c r="H41" i="4" l="1"/>
  <c r="I41" i="4"/>
  <c r="G41" i="4" l="1"/>
  <c r="J41" i="4" s="1"/>
  <c r="H42" i="4" s="1"/>
  <c r="I42" i="4" l="1"/>
  <c r="G42" i="4" s="1"/>
  <c r="L42" i="4"/>
  <c r="J42" i="4" l="1"/>
  <c r="I43" i="4" s="1"/>
  <c r="H43" i="4" l="1"/>
  <c r="G43" i="4" s="1"/>
  <c r="L43" i="4"/>
  <c r="J43" i="4" l="1"/>
  <c r="L44" i="4" s="1"/>
  <c r="H44" i="4" l="1"/>
  <c r="I44" i="4"/>
  <c r="G44" i="4" l="1"/>
  <c r="J44" i="4" s="1"/>
  <c r="H45" i="4" s="1"/>
  <c r="I45" i="4" l="1"/>
  <c r="G45" i="4" s="1"/>
  <c r="L45" i="4"/>
  <c r="J45" i="4" l="1"/>
  <c r="I46" i="4" s="1"/>
  <c r="L46" i="4"/>
  <c r="H46" i="4" l="1"/>
  <c r="G46" i="4" s="1"/>
  <c r="J46" i="4" s="1"/>
  <c r="I47" i="4" s="1"/>
  <c r="H47" i="4" l="1"/>
  <c r="G47" i="4" s="1"/>
  <c r="L47" i="4"/>
  <c r="J47" i="4" l="1"/>
  <c r="L48" i="4" s="1"/>
  <c r="I48" i="4" l="1"/>
  <c r="H48" i="4"/>
  <c r="G48" i="4" l="1"/>
  <c r="J48" i="4" s="1"/>
  <c r="I49" i="4" s="1"/>
  <c r="H49" i="4" l="1"/>
  <c r="G49" i="4" s="1"/>
  <c r="L49" i="4"/>
  <c r="J49" i="4" l="1"/>
  <c r="L50" i="4" s="1"/>
  <c r="I50" i="4" l="1"/>
  <c r="H50" i="4"/>
  <c r="G50" i="4" l="1"/>
  <c r="J50" i="4" s="1"/>
  <c r="H51" i="4" s="1"/>
  <c r="L51" i="4" l="1"/>
  <c r="I51" i="4"/>
  <c r="G51" i="4" s="1"/>
  <c r="J51" i="4" l="1"/>
  <c r="L52" i="4" s="1"/>
  <c r="I52" i="4" l="1"/>
  <c r="H52" i="4"/>
  <c r="G52" i="4" l="1"/>
  <c r="J52" i="4" s="1"/>
  <c r="L53" i="4" s="1"/>
  <c r="H53" i="4" l="1"/>
  <c r="I53" i="4"/>
  <c r="G53" i="4" l="1"/>
  <c r="J53" i="4" s="1"/>
  <c r="I54" i="4" s="1"/>
  <c r="H54" i="4" l="1"/>
  <c r="G54" i="4" s="1"/>
  <c r="L54" i="4"/>
  <c r="J54" i="4" l="1"/>
  <c r="I55" i="4" s="1"/>
  <c r="L55" i="4" l="1"/>
  <c r="H55" i="4"/>
  <c r="G55" i="4" s="1"/>
  <c r="J55" i="4" l="1"/>
  <c r="H56" i="4" s="1"/>
  <c r="L56" i="4" l="1"/>
  <c r="I56" i="4"/>
  <c r="G56" i="4" s="1"/>
  <c r="J56" i="4" l="1"/>
  <c r="I57" i="4" s="1"/>
  <c r="H57" i="4" l="1"/>
  <c r="G57" i="4" s="1"/>
  <c r="L57" i="4"/>
  <c r="J57" i="4" l="1"/>
  <c r="I58" i="4" s="1"/>
  <c r="H58" i="4" l="1"/>
  <c r="G58" i="4" s="1"/>
  <c r="L58" i="4"/>
  <c r="J58" i="4" l="1"/>
  <c r="L59" i="4" s="1"/>
  <c r="H59" i="4" l="1"/>
  <c r="I59" i="4"/>
  <c r="G59" i="4" l="1"/>
  <c r="J59" i="4" s="1"/>
  <c r="I60" i="4" s="1"/>
  <c r="L60" i="4" l="1"/>
  <c r="H60" i="4"/>
  <c r="G60" i="4" s="1"/>
  <c r="J60" i="4" l="1"/>
  <c r="I61" i="4" s="1"/>
  <c r="H61" i="4" l="1"/>
  <c r="G61" i="4" s="1"/>
  <c r="L61" i="4"/>
  <c r="J61" i="4" l="1"/>
  <c r="L62" i="4" s="1"/>
  <c r="H62" i="4" l="1"/>
  <c r="I62" i="4"/>
  <c r="G62" i="4" l="1"/>
  <c r="J62" i="4" s="1"/>
  <c r="H63" i="4" s="1"/>
  <c r="I63" i="4" l="1"/>
  <c r="G63" i="4" s="1"/>
  <c r="L63" i="4"/>
  <c r="J63" i="4" l="1"/>
  <c r="L64" i="4" s="1"/>
  <c r="H64" i="4" l="1"/>
  <c r="I64" i="4"/>
  <c r="G64" i="4" l="1"/>
  <c r="J64" i="4" s="1"/>
  <c r="I65" i="4" s="1"/>
  <c r="H65" i="4" l="1"/>
  <c r="G65" i="4" s="1"/>
  <c r="L65" i="4"/>
  <c r="J65" i="4" l="1"/>
  <c r="H66" i="4" s="1"/>
  <c r="L66" i="4" l="1"/>
  <c r="I66" i="4"/>
  <c r="G66" i="4" s="1"/>
  <c r="J66" i="4" l="1"/>
  <c r="L67" i="4" s="1"/>
  <c r="I67" i="4" l="1"/>
  <c r="H67" i="4"/>
  <c r="G67" i="4" s="1"/>
  <c r="J67" i="4" s="1"/>
  <c r="L68" i="4" s="1"/>
  <c r="H68" i="4" l="1"/>
  <c r="I68" i="4"/>
  <c r="G68" i="4" l="1"/>
  <c r="J68" i="4" s="1"/>
  <c r="I69" i="4" s="1"/>
  <c r="L69" i="4" l="1"/>
  <c r="H69" i="4"/>
  <c r="G69" i="4" s="1"/>
  <c r="J69" i="4" l="1"/>
  <c r="I70" i="4" s="1"/>
  <c r="H70" i="4" l="1"/>
  <c r="G70" i="4" s="1"/>
  <c r="L70" i="4"/>
  <c r="J70" i="4" l="1"/>
  <c r="I71" i="4" s="1"/>
  <c r="L71" i="4" l="1"/>
  <c r="H71" i="4"/>
  <c r="G71" i="4" s="1"/>
  <c r="J71" i="4" l="1"/>
  <c r="L72" i="4" s="1"/>
  <c r="H72" i="4" l="1"/>
  <c r="I72" i="4"/>
  <c r="G72" i="4" l="1"/>
  <c r="J72" i="4" s="1"/>
  <c r="I73" i="4" s="1"/>
  <c r="L73" i="4" l="1"/>
  <c r="H73" i="4"/>
  <c r="G73" i="4" s="1"/>
  <c r="J73" i="4" s="1"/>
  <c r="H74" i="4" s="1"/>
  <c r="L74" i="4" l="1"/>
  <c r="I74" i="4"/>
  <c r="G74" i="4" s="1"/>
  <c r="J74" i="4" l="1"/>
  <c r="I75" i="4" s="1"/>
  <c r="L75" i="4" l="1"/>
  <c r="H75" i="4"/>
  <c r="G75" i="4" s="1"/>
  <c r="J75" i="4" l="1"/>
  <c r="I76" i="4" s="1"/>
  <c r="H76" i="4" l="1"/>
  <c r="G76" i="4" s="1"/>
  <c r="L76" i="4"/>
  <c r="J76" i="4" l="1"/>
  <c r="H77" i="4" s="1"/>
  <c r="L77" i="4" l="1"/>
  <c r="I77" i="4"/>
  <c r="G77" i="4" s="1"/>
  <c r="J77" i="4" l="1"/>
  <c r="H78" i="4" s="1"/>
  <c r="L78" i="4" l="1"/>
  <c r="I78" i="4"/>
  <c r="G78" i="4" s="1"/>
  <c r="J78" i="4" l="1"/>
  <c r="L79" i="4" s="1"/>
  <c r="H79" i="4" l="1"/>
  <c r="I79" i="4"/>
  <c r="G79" i="4" l="1"/>
  <c r="J79" i="4" s="1"/>
  <c r="H80" i="4" s="1"/>
  <c r="L80" i="4" l="1"/>
  <c r="I80" i="4"/>
  <c r="G80" i="4" s="1"/>
  <c r="J80" i="4" l="1"/>
  <c r="H81" i="4" s="1"/>
  <c r="I81" i="4" l="1"/>
  <c r="G81" i="4" s="1"/>
  <c r="L81" i="4"/>
  <c r="J81" i="4" l="1"/>
  <c r="L82" i="4" s="1"/>
  <c r="H82" i="4" l="1"/>
  <c r="I82" i="4"/>
  <c r="G82" i="4" l="1"/>
  <c r="J82" i="4" s="1"/>
  <c r="L83" i="4" s="1"/>
  <c r="I83" i="4" l="1"/>
  <c r="H83" i="4"/>
  <c r="G83" i="4" l="1"/>
  <c r="J83" i="4" s="1"/>
  <c r="I84" i="4" s="1"/>
  <c r="L84" i="4" l="1"/>
  <c r="H84" i="4"/>
  <c r="G84" i="4" s="1"/>
  <c r="J84" i="4" l="1"/>
  <c r="H85" i="4" s="1"/>
  <c r="I85" i="4" l="1"/>
  <c r="G85" i="4" s="1"/>
  <c r="L85" i="4"/>
  <c r="J85" i="4" l="1"/>
  <c r="I86" i="4" s="1"/>
  <c r="H86" i="4" l="1"/>
  <c r="G86" i="4" s="1"/>
  <c r="L86" i="4"/>
  <c r="J86" i="4" l="1"/>
  <c r="H87" i="4" s="1"/>
  <c r="I87" i="4" l="1"/>
  <c r="G87" i="4" s="1"/>
  <c r="L87" i="4"/>
  <c r="J87" i="4" l="1"/>
  <c r="L88" i="4" s="1"/>
  <c r="H88" i="4" l="1"/>
  <c r="I88" i="4"/>
  <c r="G88" i="4" l="1"/>
  <c r="J88" i="4" s="1"/>
  <c r="I89" i="4" s="1"/>
  <c r="L89" i="4" l="1"/>
  <c r="H89" i="4"/>
  <c r="G89" i="4" s="1"/>
  <c r="J89" i="4" l="1"/>
  <c r="L90" i="4" s="1"/>
  <c r="I90" i="4" l="1"/>
  <c r="H90" i="4"/>
  <c r="G90" i="4" l="1"/>
  <c r="J90" i="4" s="1"/>
  <c r="I91" i="4" s="1"/>
  <c r="H91" i="4" l="1"/>
  <c r="G91" i="4" s="1"/>
  <c r="L91" i="4"/>
  <c r="J91" i="4" l="1"/>
  <c r="H92" i="4" s="1"/>
  <c r="I92" i="4" l="1"/>
  <c r="G92" i="4" s="1"/>
  <c r="L92" i="4"/>
  <c r="J92" i="4" l="1"/>
  <c r="H93" i="4" s="1"/>
  <c r="I93" i="4" l="1"/>
  <c r="G93" i="4" s="1"/>
  <c r="L93" i="4"/>
  <c r="J93" i="4" l="1"/>
  <c r="L94" i="4" s="1"/>
  <c r="H94" i="4" l="1"/>
  <c r="I94" i="4"/>
  <c r="G94" i="4" l="1"/>
  <c r="J94" i="4" s="1"/>
  <c r="H95" i="4" s="1"/>
  <c r="I95" i="4" l="1"/>
  <c r="G95" i="4" s="1"/>
  <c r="L95" i="4"/>
  <c r="J95" i="4" l="1"/>
  <c r="L96" i="4" s="1"/>
  <c r="I96" i="4" l="1"/>
  <c r="H96" i="4"/>
  <c r="G96" i="4" l="1"/>
  <c r="J96" i="4" s="1"/>
  <c r="L97" i="4" s="1"/>
  <c r="H97" i="4" l="1"/>
  <c r="I97" i="4"/>
  <c r="G97" i="4" l="1"/>
  <c r="J97" i="4" s="1"/>
  <c r="L98" i="4" s="1"/>
  <c r="I98" i="4" l="1"/>
  <c r="H98" i="4"/>
  <c r="G98" i="4" l="1"/>
  <c r="J98" i="4" s="1"/>
  <c r="H99" i="4" s="1"/>
  <c r="I99" i="4" l="1"/>
  <c r="G99" i="4" s="1"/>
  <c r="L99" i="4"/>
  <c r="J99" i="4" l="1"/>
  <c r="I100" i="4" s="1"/>
  <c r="H100" i="4" l="1"/>
  <c r="G100" i="4" s="1"/>
  <c r="L100" i="4"/>
  <c r="J100" i="4" l="1"/>
  <c r="H101" i="4" s="1"/>
  <c r="I101" i="4" l="1"/>
  <c r="G101" i="4" s="1"/>
  <c r="L101" i="4"/>
  <c r="J101" i="4" l="1"/>
  <c r="I102" i="4" s="1"/>
  <c r="L102" i="4" l="1"/>
  <c r="H102" i="4"/>
  <c r="G102" i="4" s="1"/>
  <c r="J102" i="4" l="1"/>
  <c r="L103" i="4" s="1"/>
  <c r="H103" i="4" l="1"/>
  <c r="I103" i="4"/>
  <c r="G103" i="4" l="1"/>
  <c r="J103" i="4" s="1"/>
  <c r="H104" i="4" s="1"/>
  <c r="I104" i="4" l="1"/>
  <c r="G104" i="4" s="1"/>
  <c r="L104" i="4"/>
  <c r="J104" i="4" l="1"/>
  <c r="I105" i="4" s="1"/>
  <c r="H105" i="4" l="1"/>
  <c r="G105" i="4" s="1"/>
  <c r="L105" i="4"/>
  <c r="J105" i="4" l="1"/>
  <c r="H106" i="4" s="1"/>
  <c r="I106" i="4" l="1"/>
  <c r="G106" i="4" s="1"/>
  <c r="L106" i="4"/>
  <c r="J106" i="4" l="1"/>
  <c r="L107" i="4" s="1"/>
  <c r="I107" i="4" l="1"/>
  <c r="H107" i="4"/>
  <c r="G107" i="4" s="1"/>
  <c r="J107" i="4" s="1"/>
  <c r="I108" i="4" s="1"/>
  <c r="L108" i="4" l="1"/>
  <c r="H108" i="4"/>
  <c r="G108" i="4" s="1"/>
  <c r="J108" i="4" l="1"/>
  <c r="H109" i="4" s="1"/>
  <c r="I109" i="4" l="1"/>
  <c r="G109" i="4" s="1"/>
  <c r="L109" i="4"/>
  <c r="J109" i="4" l="1"/>
  <c r="L110" i="4" l="1"/>
  <c r="I110" i="4"/>
  <c r="H110" i="4"/>
  <c r="G110" i="4" l="1"/>
  <c r="J110" i="4" s="1"/>
  <c r="I111" i="4" l="1"/>
  <c r="L111" i="4"/>
  <c r="H111" i="4"/>
  <c r="G111" i="4" l="1"/>
  <c r="J111" i="4" s="1"/>
  <c r="L112" i="4" l="1"/>
  <c r="I112" i="4"/>
  <c r="H112" i="4"/>
  <c r="G112" i="4" l="1"/>
  <c r="J112" i="4" s="1"/>
  <c r="I113" i="4" s="1"/>
  <c r="L113" i="4" l="1"/>
  <c r="H113" i="4"/>
  <c r="G113" i="4" s="1"/>
  <c r="J113" i="4" l="1"/>
  <c r="H114" i="4" s="1"/>
  <c r="I114" i="4" l="1"/>
  <c r="G114" i="4" s="1"/>
  <c r="L114" i="4"/>
  <c r="J114" i="4" l="1"/>
  <c r="I115" i="4" s="1"/>
  <c r="L115" i="4" l="1"/>
  <c r="H115" i="4"/>
  <c r="G115" i="4" s="1"/>
  <c r="J115" i="4" l="1"/>
  <c r="L116" i="4" s="1"/>
  <c r="H116" i="4" l="1"/>
  <c r="I116" i="4"/>
  <c r="G116" i="4" l="1"/>
  <c r="J116" i="4" s="1"/>
  <c r="I117" i="4" s="1"/>
  <c r="L117" i="4" l="1"/>
  <c r="H117" i="4"/>
  <c r="G117" i="4" s="1"/>
  <c r="J117" i="4" l="1"/>
  <c r="I118" i="4" s="1"/>
  <c r="H118" i="4" l="1"/>
  <c r="G118" i="4" s="1"/>
  <c r="L118" i="4"/>
  <c r="J118" i="4" l="1"/>
  <c r="L119" i="4" s="1"/>
  <c r="H119" i="4" l="1"/>
  <c r="I119" i="4"/>
  <c r="G119" i="4" l="1"/>
  <c r="J119" i="4" s="1"/>
  <c r="H120" i="4" s="1"/>
  <c r="L120" i="4" l="1"/>
  <c r="I120" i="4"/>
  <c r="G120" i="4" s="1"/>
  <c r="J120" i="4" l="1"/>
  <c r="H121" i="4" s="1"/>
  <c r="I121" i="4" l="1"/>
  <c r="G121" i="4" s="1"/>
  <c r="L121" i="4"/>
  <c r="J121" i="4" l="1"/>
  <c r="H122" i="4" s="1"/>
  <c r="L122" i="4" l="1"/>
  <c r="I122" i="4"/>
  <c r="G122" i="4" s="1"/>
  <c r="J122" i="4" l="1"/>
  <c r="I123" i="4" s="1"/>
  <c r="H123" i="4" l="1"/>
  <c r="G123" i="4" s="1"/>
  <c r="L123" i="4"/>
  <c r="J123" i="4" l="1"/>
  <c r="H124" i="4" s="1"/>
  <c r="L124" i="4" l="1"/>
  <c r="I124" i="4"/>
  <c r="G124" i="4" s="1"/>
  <c r="J124" i="4" l="1"/>
  <c r="L125" i="4" s="1"/>
  <c r="I125" i="4" l="1"/>
  <c r="H125" i="4"/>
  <c r="G125" i="4" l="1"/>
  <c r="J125" i="4" s="1"/>
  <c r="I126" i="4" s="1"/>
  <c r="L126" i="4" l="1"/>
  <c r="H126" i="4"/>
  <c r="G126" i="4" s="1"/>
  <c r="J126" i="4" l="1"/>
  <c r="H127" i="4" s="1"/>
  <c r="L127" i="4" l="1"/>
  <c r="I127" i="4"/>
  <c r="G127" i="4" s="1"/>
  <c r="J127" i="4" l="1"/>
  <c r="L128" i="4" s="1"/>
  <c r="H128" i="4" l="1"/>
  <c r="I128" i="4"/>
  <c r="G128" i="4" l="1"/>
  <c r="J128" i="4" s="1"/>
  <c r="H129" i="4" s="1"/>
  <c r="L129" i="4" l="1"/>
  <c r="I129" i="4"/>
  <c r="G129" i="4" s="1"/>
  <c r="J129" i="4" l="1"/>
  <c r="H130" i="4" s="1"/>
  <c r="L130" i="4" l="1"/>
  <c r="I130" i="4"/>
  <c r="G130" i="4" s="1"/>
  <c r="J130" i="4" l="1"/>
  <c r="L131" i="4" s="1"/>
  <c r="H131" i="4" l="1"/>
  <c r="I131" i="4"/>
  <c r="G131" i="4" l="1"/>
  <c r="J131" i="4" s="1"/>
  <c r="I132" i="4" s="1"/>
  <c r="H132" i="4" l="1"/>
  <c r="G132" i="4" s="1"/>
  <c r="L132" i="4"/>
  <c r="J132" i="4" l="1"/>
  <c r="L133" i="4" s="1"/>
  <c r="H133" i="4" l="1"/>
  <c r="G133" i="4" s="1"/>
  <c r="J133" i="4" s="1"/>
  <c r="H134" i="4" s="1"/>
  <c r="I133" i="4"/>
  <c r="I134" i="4" l="1"/>
  <c r="G134" i="4" s="1"/>
  <c r="L134" i="4"/>
  <c r="J134" i="4" l="1"/>
  <c r="L135" i="4" s="1"/>
  <c r="I135" i="4" l="1"/>
  <c r="H135" i="4"/>
  <c r="G135" i="4" l="1"/>
  <c r="J135" i="4" s="1"/>
  <c r="I136" i="4" s="1"/>
  <c r="L136" i="4" l="1"/>
  <c r="H136" i="4"/>
  <c r="G136" i="4" s="1"/>
  <c r="J136" i="4" s="1"/>
  <c r="L137" i="4" l="1"/>
  <c r="H137" i="4"/>
  <c r="I137" i="4"/>
  <c r="G137" i="4" l="1"/>
  <c r="J137" i="4" s="1"/>
  <c r="H138" i="4" l="1"/>
  <c r="I138" i="4"/>
  <c r="L138" i="4"/>
  <c r="G138" i="4" l="1"/>
  <c r="J138" i="4" s="1"/>
  <c r="L139" i="4" s="1"/>
  <c r="H139" i="4" l="1"/>
  <c r="I139" i="4"/>
  <c r="G139" i="4" l="1"/>
  <c r="J139" i="4" s="1"/>
  <c r="L140" i="4" s="1"/>
  <c r="H140" i="4" l="1"/>
  <c r="I140" i="4"/>
  <c r="G140" i="4" l="1"/>
  <c r="J140" i="4" s="1"/>
  <c r="I141" i="4" s="1"/>
  <c r="L141" i="4" l="1"/>
  <c r="H141" i="4"/>
  <c r="G141" i="4" s="1"/>
  <c r="J141" i="4" l="1"/>
  <c r="I142" i="4" s="1"/>
  <c r="L142" i="4" l="1"/>
  <c r="H142" i="4"/>
  <c r="G142" i="4" s="1"/>
  <c r="J142" i="4" l="1"/>
  <c r="H143" i="4" s="1"/>
  <c r="I143" i="4" l="1"/>
  <c r="G143" i="4" s="1"/>
  <c r="L143" i="4"/>
  <c r="J143" i="4" l="1"/>
  <c r="H144" i="4" s="1"/>
  <c r="L144" i="4" l="1"/>
  <c r="I144" i="4"/>
  <c r="G144" i="4" s="1"/>
  <c r="J144" i="4" l="1"/>
  <c r="H145" i="4" s="1"/>
  <c r="I145" i="4" l="1"/>
  <c r="G145" i="4" s="1"/>
  <c r="L145" i="4"/>
  <c r="J145" i="4" l="1"/>
  <c r="I146" i="4" s="1"/>
  <c r="L146" i="4" l="1"/>
  <c r="H146" i="4"/>
  <c r="G146" i="4" s="1"/>
  <c r="J146" i="4" l="1"/>
  <c r="L147" i="4" s="1"/>
  <c r="I147" i="4" l="1"/>
  <c r="H147" i="4"/>
  <c r="G147" i="4" l="1"/>
  <c r="J147" i="4" s="1"/>
  <c r="H148" i="4" s="1"/>
  <c r="L148" i="4" l="1"/>
  <c r="I148" i="4"/>
  <c r="G148" i="4" s="1"/>
  <c r="J148" i="4" l="1"/>
  <c r="L149" i="4" s="1"/>
  <c r="H149" i="4" l="1"/>
  <c r="I149" i="4"/>
  <c r="G149" i="4" l="1"/>
  <c r="J149" i="4" s="1"/>
  <c r="L150" i="4" s="1"/>
  <c r="H150" i="4" l="1"/>
  <c r="I150" i="4"/>
  <c r="G150" i="4" l="1"/>
  <c r="J150" i="4" s="1"/>
  <c r="I151" i="4" s="1"/>
  <c r="L151" i="4" l="1"/>
  <c r="H151" i="4"/>
  <c r="G151" i="4" s="1"/>
  <c r="J151" i="4"/>
  <c r="I152" i="4" s="1"/>
  <c r="L152" i="4" l="1"/>
  <c r="H152" i="4"/>
  <c r="G152" i="4" s="1"/>
  <c r="J152" i="4" l="1"/>
  <c r="H153" i="4" s="1"/>
  <c r="L153" i="4" l="1"/>
  <c r="I153" i="4"/>
  <c r="G153" i="4" s="1"/>
  <c r="J153" i="4" l="1"/>
  <c r="L154" i="4" s="1"/>
  <c r="I154" i="4" l="1"/>
  <c r="H154" i="4"/>
  <c r="G154" i="4" s="1"/>
  <c r="J154" i="4" s="1"/>
  <c r="H155" i="4" s="1"/>
  <c r="L155" i="4" l="1"/>
  <c r="I155" i="4"/>
  <c r="G155" i="4" s="1"/>
  <c r="J155" i="4" l="1"/>
  <c r="I156" i="4" s="1"/>
  <c r="H156" i="4" l="1"/>
  <c r="G156" i="4" s="1"/>
  <c r="L156" i="4"/>
  <c r="J156" i="4" l="1"/>
  <c r="L157" i="4" l="1"/>
  <c r="H157" i="4"/>
  <c r="I157" i="4"/>
  <c r="G157" i="4" l="1"/>
  <c r="J157" i="4" s="1"/>
  <c r="I158" i="4" s="1"/>
  <c r="H158" i="4" l="1"/>
  <c r="G158" i="4" s="1"/>
  <c r="L158" i="4"/>
  <c r="J158" i="4" l="1"/>
  <c r="H159" i="4" s="1"/>
  <c r="I159" i="4" l="1"/>
  <c r="G159" i="4" s="1"/>
  <c r="L159" i="4"/>
  <c r="J159" i="4" l="1"/>
  <c r="L160" i="4" s="1"/>
  <c r="I160" i="4" l="1"/>
  <c r="G160" i="4" s="1"/>
  <c r="J160" i="4" s="1"/>
  <c r="I161" i="4" s="1"/>
  <c r="H160" i="4"/>
  <c r="L161" i="4" l="1"/>
  <c r="H161" i="4"/>
  <c r="G161" i="4" s="1"/>
  <c r="J161" i="4" l="1"/>
  <c r="H162" i="4" s="1"/>
  <c r="I162" i="4"/>
  <c r="G162" i="4" s="1"/>
  <c r="L162" i="4" l="1"/>
  <c r="J162" i="4" s="1"/>
  <c r="L163" i="4" s="1"/>
  <c r="I163" i="4" l="1"/>
  <c r="H163" i="4"/>
  <c r="G163" i="4" l="1"/>
  <c r="J163" i="4" s="1"/>
  <c r="H164" i="4" s="1"/>
  <c r="I164" i="4" l="1"/>
  <c r="G164" i="4" s="1"/>
  <c r="L164" i="4"/>
  <c r="J164" i="4" l="1"/>
  <c r="L165" i="4" s="1"/>
  <c r="I165" i="4" l="1"/>
  <c r="H165" i="4"/>
  <c r="G165" i="4" l="1"/>
  <c r="J165" i="4" s="1"/>
  <c r="H166" i="4" s="1"/>
  <c r="L166" i="4" l="1"/>
  <c r="I166" i="4"/>
  <c r="G166" i="4" s="1"/>
  <c r="J166" i="4" l="1"/>
  <c r="I167" i="4" s="1"/>
  <c r="H167" i="4"/>
  <c r="G167" i="4" s="1"/>
  <c r="L167" i="4" l="1"/>
  <c r="J167" i="4"/>
  <c r="L168" i="4" s="1"/>
  <c r="H168" i="4" l="1"/>
  <c r="I168" i="4"/>
  <c r="G168" i="4" s="1"/>
  <c r="J168" i="4" s="1"/>
  <c r="L169" i="4" s="1"/>
  <c r="I169" i="4" l="1"/>
  <c r="H169" i="4"/>
  <c r="G169" i="4" l="1"/>
  <c r="J169" i="4" s="1"/>
  <c r="H170" i="4" s="1"/>
  <c r="L170" i="4" l="1"/>
  <c r="I170" i="4"/>
  <c r="G170" i="4" s="1"/>
  <c r="J170" i="4" l="1"/>
  <c r="H171" i="4" s="1"/>
  <c r="H172" i="4" s="1"/>
  <c r="L171" i="4" l="1"/>
  <c r="I171" i="4"/>
  <c r="I172" i="4" s="1"/>
  <c r="G171" i="4" l="1"/>
  <c r="G172" i="4" s="1"/>
  <c r="J17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Julieth Fernanda Sanchez Latorre</author>
  </authors>
  <commentList>
    <comment ref="D13" authorId="0" shapeId="0" xr:uid="{04DED837-54ED-4D0D-8A21-03B81F581727}">
      <text>
        <r>
          <rPr>
            <b/>
            <sz val="9"/>
            <color indexed="81"/>
            <rFont val="Tahoma"/>
            <family val="2"/>
          </rPr>
          <t xml:space="preserve">Se financia mínimo el 10% y máximo el 95% del valor de la matrícula. </t>
        </r>
      </text>
    </comment>
    <comment ref="F26" authorId="0" shapeId="0" xr:uid="{34761EC1-E39C-4FC6-846F-DE450A48D685}">
      <text>
        <r>
          <rPr>
            <sz val="8"/>
            <color indexed="81"/>
            <rFont val="Tahoma"/>
            <family val="2"/>
          </rPr>
          <t>Tiempo del crédito en el que solo se pagan intereses, sin abonar al capital; al finalizar, se comienzan a pagar cuotas completas de capital e intereses.</t>
        </r>
      </text>
    </comment>
    <comment ref="J27" authorId="0" shapeId="0" xr:uid="{56AD99B9-B052-427C-8487-14F6DC7E3A24}">
      <text>
        <r>
          <rPr>
            <sz val="9"/>
            <color indexed="81"/>
            <rFont val="Tahoma"/>
            <family val="2"/>
          </rPr>
          <t>◄ Año 1 : Comienzas pagando este capital</t>
        </r>
        <r>
          <rPr>
            <b/>
            <sz val="9"/>
            <color indexed="81"/>
            <rFont val="Tahoma"/>
            <family val="2"/>
          </rPr>
          <t>.</t>
        </r>
      </text>
    </comment>
  </commentList>
</comments>
</file>

<file path=xl/sharedStrings.xml><?xml version="1.0" encoding="utf-8"?>
<sst xmlns="http://schemas.openxmlformats.org/spreadsheetml/2006/main" count="279" uniqueCount="119">
  <si>
    <t>Semestre 1</t>
  </si>
  <si>
    <t>Semestre 2</t>
  </si>
  <si>
    <t>Semestre 3</t>
  </si>
  <si>
    <t>Semestre 4</t>
  </si>
  <si>
    <t>Semestre 5</t>
  </si>
  <si>
    <t>Semestre 6</t>
  </si>
  <si>
    <t>Semestre 7</t>
  </si>
  <si>
    <t>Semestre 8</t>
  </si>
  <si>
    <t>Semestre 9</t>
  </si>
  <si>
    <t>TASA DE INTERÉS M.V.</t>
  </si>
  <si>
    <t>PROGRAMA</t>
  </si>
  <si>
    <t>Arquitectura</t>
  </si>
  <si>
    <t>TIPO DE MATRICULA</t>
  </si>
  <si>
    <t>Matrícula completa (100%)</t>
  </si>
  <si>
    <t>VALOR DE LA MATRÍCULA</t>
  </si>
  <si>
    <t>PORCENTAJE A FINANCIAR</t>
  </si>
  <si>
    <t>PLAZO (MESES)</t>
  </si>
  <si>
    <t>UNIVERSIDAD DE LOS ANDES</t>
  </si>
  <si>
    <t>N° DE CUOTA</t>
  </si>
  <si>
    <t>CAPITAL</t>
  </si>
  <si>
    <t>INTERÉS CORRIENTE</t>
  </si>
  <si>
    <t>CUOTA</t>
  </si>
  <si>
    <t>SALDO CAPITAL</t>
  </si>
  <si>
    <t>TOTAL</t>
  </si>
  <si>
    <t xml:space="preserve">Servicios Financieros a Estudiantes | Vicerrectoría Administrativa y Financiera | Calle 18ª No 0-33 Este. Bloque E. Centro de Atención Integrada |Bogotá, Colombia |Tel (571) 3394949 ext.1234 opción 1| Universidad de los Andes | Vigilada Mineducación - Reconocimiento como Universidad: Decreto 1297 del 30 de mayo de 1964 - Reconocimiento personería jurídica: Resolución 28 del 23 de febrero de 1949 Minjusticia. </t>
  </si>
  <si>
    <t xml:space="preserve">Área del conocimiento </t>
  </si>
  <si>
    <t xml:space="preserve">Programa </t>
  </si>
  <si>
    <t>Área Administrativa y Económica</t>
  </si>
  <si>
    <t>Administración de Empresas</t>
  </si>
  <si>
    <t>Otros programas</t>
  </si>
  <si>
    <t>Medicina</t>
  </si>
  <si>
    <t>Área Social</t>
  </si>
  <si>
    <t>Antropología</t>
  </si>
  <si>
    <t>Área Creativa</t>
  </si>
  <si>
    <t>Media matrícula (50%)</t>
  </si>
  <si>
    <t>Cuarto de matrícula (25%)</t>
  </si>
  <si>
    <t>Prácticas (30%)</t>
  </si>
  <si>
    <t>Intercambio (10%)</t>
  </si>
  <si>
    <t>Arte</t>
  </si>
  <si>
    <t>Área Científica</t>
  </si>
  <si>
    <t>Biología</t>
  </si>
  <si>
    <t>Área de Ingenio</t>
  </si>
  <si>
    <t>Ciencia de Datos</t>
  </si>
  <si>
    <t>Ciencia Política</t>
  </si>
  <si>
    <t>Derecho</t>
  </si>
  <si>
    <t>Diseño</t>
  </si>
  <si>
    <t>Economía</t>
  </si>
  <si>
    <t>-</t>
  </si>
  <si>
    <t>Estudios Dirigidos</t>
  </si>
  <si>
    <t>Estudios Globales</t>
  </si>
  <si>
    <t>Filosofía</t>
  </si>
  <si>
    <t>Física</t>
  </si>
  <si>
    <t>Geociencias</t>
  </si>
  <si>
    <t>Historia</t>
  </si>
  <si>
    <t>Historia del Arte</t>
  </si>
  <si>
    <t>Ingeniería Ambiental</t>
  </si>
  <si>
    <t>Ingeniería Biomédica</t>
  </si>
  <si>
    <t>Ingeniería Civil</t>
  </si>
  <si>
    <t>Ingeniería de Sistemas y Computación</t>
  </si>
  <si>
    <t>Ingeniería Eléctrica</t>
  </si>
  <si>
    <t>Ingeniería Electrónica</t>
  </si>
  <si>
    <t>Ingeniería Industrial</t>
  </si>
  <si>
    <t>Ingeniería Mecánica</t>
  </si>
  <si>
    <t>Ingeniería Química</t>
  </si>
  <si>
    <t>Lenguas y Cultura</t>
  </si>
  <si>
    <t>Licenciatura en Artes</t>
  </si>
  <si>
    <t>Licenciatura en Biología</t>
  </si>
  <si>
    <t>Licenciatura en Educación Infantil</t>
  </si>
  <si>
    <t>Licenciatura en Español y Filología</t>
  </si>
  <si>
    <t>Licenciatura en Filosofía</t>
  </si>
  <si>
    <t>Licenciatura en Física</t>
  </si>
  <si>
    <t>Licenciatura en Historia</t>
  </si>
  <si>
    <t>Licenciatura en Matemáticas</t>
  </si>
  <si>
    <t>Licenciatura en Química</t>
  </si>
  <si>
    <t>Literatura</t>
  </si>
  <si>
    <t>Matemáticas</t>
  </si>
  <si>
    <t>Microbiología</t>
  </si>
  <si>
    <t>Música</t>
  </si>
  <si>
    <t>Narrativas Digitales</t>
  </si>
  <si>
    <t>Psicología</t>
  </si>
  <si>
    <t>Química</t>
  </si>
  <si>
    <t>VALOR A FINANCIAR (40%)</t>
  </si>
  <si>
    <t>VALOR A FINANCIAR (60%)</t>
  </si>
  <si>
    <t>SIMULADOR DE CRÉDITO (40%)</t>
  </si>
  <si>
    <t>PRÉSTAMO MEDIANO PLAZO 2048</t>
  </si>
  <si>
    <t>VALOR DE MATRÍCULA</t>
  </si>
  <si>
    <t>SALDO ADEUDADO DEL PERIODO</t>
  </si>
  <si>
    <t>PAGOS MENSUALES (40%)</t>
  </si>
  <si>
    <t>Semestres</t>
  </si>
  <si>
    <t>CONDICIONES DE CRÉDITO - ETAPA DE ESTUDIOS</t>
  </si>
  <si>
    <t>VALOR A FINANCIAR</t>
  </si>
  <si>
    <t>CAPITAL ADEUDADO</t>
  </si>
  <si>
    <t>Semestre 10</t>
  </si>
  <si>
    <t>Semestre 11</t>
  </si>
  <si>
    <t>Semestre 12</t>
  </si>
  <si>
    <t>Año 1</t>
  </si>
  <si>
    <t>Año 2</t>
  </si>
  <si>
    <t>Año 3</t>
  </si>
  <si>
    <t>Año 4</t>
  </si>
  <si>
    <t>Año 5</t>
  </si>
  <si>
    <t>Año 6</t>
  </si>
  <si>
    <t>Año 7</t>
  </si>
  <si>
    <t>Año 8</t>
  </si>
  <si>
    <t>Año 9</t>
  </si>
  <si>
    <t>Año 10</t>
  </si>
  <si>
    <t>Año 11</t>
  </si>
  <si>
    <t>Año 12</t>
  </si>
  <si>
    <t>AÑO</t>
  </si>
  <si>
    <t>PROGRAMA ACADÉMICO</t>
  </si>
  <si>
    <t>VALOR A PAGAR CORTO PLAZO (40%)</t>
  </si>
  <si>
    <t>VALOR A PAGAR LARGO PLAZO (60%)</t>
  </si>
  <si>
    <t xml:space="preserve">PLAZO DE PAGO 40% (MESES) </t>
  </si>
  <si>
    <t>SALDO CAPITAL EPOCA DE AMORTIZACIÓN</t>
  </si>
  <si>
    <t>PROYECCIÓN PLAN DE PAGOS EPOCA DE AMORTIZACIÓN</t>
  </si>
  <si>
    <t>PROYECCIÓN PLAN DE PAGOS EPOCA DE ESTUDIO</t>
  </si>
  <si>
    <t>Periodo de gracia (6 meses)</t>
  </si>
  <si>
    <r>
      <rPr>
        <b/>
        <sz val="8"/>
        <color theme="1"/>
        <rFont val="Arial"/>
        <family val="2"/>
      </rPr>
      <t xml:space="preserve">Nota: </t>
    </r>
    <r>
      <rPr>
        <sz val="8"/>
        <color theme="1"/>
        <rFont val="Arial"/>
        <family val="2"/>
      </rPr>
      <t>Todos y cada uno de los valores que arroje la proyección corresponden a cálculos estimados y el valor definitivo del préstamo (capital e intereses) dependerá del comportamiento del Índice de Precios al Consumidor (IPC) y de los incrementos de matrícula durante la época de estudio. Para efectos de esta simulación, se asume un IPC del 5,2%.</t>
    </r>
  </si>
  <si>
    <t>El simulador de crédito tiene carácter aproximado, indicativo e informativo, por lo que los valores proyectados pueden variar y no constituyen una oferta ni asesoría comercial, contable, tributaria o legal. Su finalidad es orientar y ejemplificar las posibles cuotas del préstamo, sin generar obligación alguna para la Universidad de los Andes respecto al mantenimiento de las condiciones inicialmente informadas.
Los desembolsos que pueda efectuar la Universidad de los Andes estarán sujetos al cumplimiento de las normas, políticas institucionales y requisitos especiales aplicables a cada línea de apoyo financiero.</t>
  </si>
  <si>
    <t>Fecha de actualización: 19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</si>
</sst>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
  </numFmts>
  <fonts count="20" x14ac:knownFonts="1">
    <font>
      <sz val="11"/>
      <color theme="1"/>
      <name val="Calibri"/>
      <family val="2"/>
      <scheme val="minor"/>
    </font>
    <font>
      <sz val="11"/>
      <color theme="1"/>
      <name val="Calibri"/>
      <family val="2"/>
      <scheme val="minor"/>
    </font>
    <font>
      <sz val="9"/>
      <color theme="1"/>
      <name val="Calibri"/>
      <family val="2"/>
      <scheme val="minor"/>
    </font>
    <font>
      <sz val="8"/>
      <name val="Calibri"/>
      <family val="2"/>
      <scheme val="minor"/>
    </font>
    <font>
      <b/>
      <sz val="9"/>
      <color indexed="81"/>
      <name val="Tahoma"/>
      <family val="2"/>
    </font>
    <font>
      <b/>
      <sz val="10"/>
      <color theme="1"/>
      <name val="Arial"/>
      <family val="2"/>
    </font>
    <font>
      <sz val="9"/>
      <color theme="1"/>
      <name val="Arial"/>
      <family val="2"/>
    </font>
    <font>
      <b/>
      <sz val="9"/>
      <color theme="1"/>
      <name val="Arial"/>
      <family val="2"/>
    </font>
    <font>
      <b/>
      <sz val="9"/>
      <name val="Arial"/>
      <family val="2"/>
    </font>
    <font>
      <sz val="9"/>
      <name val="Arial"/>
      <family val="2"/>
    </font>
    <font>
      <b/>
      <i/>
      <u/>
      <sz val="9"/>
      <color rgb="FFFF0000"/>
      <name val="Arial"/>
      <family val="2"/>
    </font>
    <font>
      <i/>
      <sz val="9"/>
      <color theme="1"/>
      <name val="Arial"/>
      <family val="2"/>
    </font>
    <font>
      <sz val="9"/>
      <color theme="0" tint="-0.34998626667073579"/>
      <name val="Arial"/>
      <family val="2"/>
    </font>
    <font>
      <b/>
      <sz val="8"/>
      <name val="Arial"/>
      <family val="2"/>
    </font>
    <font>
      <b/>
      <sz val="8"/>
      <color theme="1"/>
      <name val="Arial"/>
      <family val="2"/>
    </font>
    <font>
      <sz val="8"/>
      <color theme="1"/>
      <name val="Arial"/>
      <family val="2"/>
    </font>
    <font>
      <sz val="8"/>
      <color indexed="81"/>
      <name val="Tahoma"/>
      <family val="2"/>
    </font>
    <font>
      <sz val="9"/>
      <color indexed="81"/>
      <name val="Tahoma"/>
      <family val="2"/>
    </font>
    <font>
      <sz val="7"/>
      <color theme="0" tint="-0.34998626667073579"/>
      <name val="Arial"/>
      <family val="2"/>
    </font>
    <font>
      <sz val="8"/>
      <color theme="2"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7999816888943144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2"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8" fillId="3" borderId="3" xfId="0" applyFont="1" applyFill="1" applyBorder="1" applyAlignment="1" applyProtection="1">
      <alignment horizontal="center" vertical="center"/>
      <protection hidden="1"/>
    </xf>
    <xf numFmtId="166" fontId="9" fillId="2" borderId="25" xfId="0" applyNumberFormat="1" applyFont="1" applyFill="1" applyBorder="1" applyAlignment="1" applyProtection="1">
      <alignment horizontal="center" vertical="center"/>
      <protection hidden="1"/>
    </xf>
    <xf numFmtId="0" fontId="6" fillId="0" borderId="35" xfId="0" applyFont="1" applyBorder="1" applyAlignment="1" applyProtection="1">
      <alignment horizontal="center" vertical="center"/>
      <protection hidden="1"/>
    </xf>
    <xf numFmtId="0" fontId="8" fillId="6" borderId="26" xfId="0" applyFont="1" applyFill="1" applyBorder="1" applyAlignment="1" applyProtection="1">
      <alignment horizontal="center" vertical="center"/>
      <protection hidden="1"/>
    </xf>
    <xf numFmtId="166" fontId="9" fillId="2" borderId="27" xfId="0" applyNumberFormat="1" applyFont="1" applyFill="1" applyBorder="1" applyAlignment="1" applyProtection="1">
      <alignment horizontal="center" vertical="center"/>
      <protection locked="0" hidden="1"/>
    </xf>
    <xf numFmtId="1" fontId="6" fillId="0" borderId="7" xfId="0" applyNumberFormat="1" applyFont="1" applyBorder="1" applyAlignment="1" applyProtection="1">
      <alignment horizontal="center" vertical="center"/>
      <protection hidden="1"/>
    </xf>
    <xf numFmtId="3" fontId="6" fillId="0" borderId="8" xfId="0" applyNumberFormat="1" applyFont="1" applyBorder="1" applyAlignment="1" applyProtection="1">
      <alignment horizontal="center" vertical="center"/>
      <protection hidden="1"/>
    </xf>
    <xf numFmtId="3" fontId="9" fillId="7" borderId="8" xfId="0" applyNumberFormat="1" applyFont="1" applyFill="1" applyBorder="1" applyAlignment="1" applyProtection="1">
      <alignment horizontal="center" vertical="center"/>
      <protection hidden="1"/>
    </xf>
    <xf numFmtId="3" fontId="6" fillId="0" borderId="6" xfId="0" applyNumberFormat="1" applyFont="1" applyBorder="1" applyAlignment="1" applyProtection="1">
      <alignment horizontal="center" vertical="center"/>
      <protection hidden="1"/>
    </xf>
    <xf numFmtId="3" fontId="6" fillId="0" borderId="27" xfId="0" applyNumberFormat="1" applyFont="1" applyBorder="1" applyAlignment="1" applyProtection="1">
      <alignment horizontal="center" vertical="center"/>
      <protection hidden="1"/>
    </xf>
    <xf numFmtId="3" fontId="9" fillId="0" borderId="8" xfId="0" applyNumberFormat="1" applyFont="1" applyBorder="1" applyAlignment="1" applyProtection="1">
      <alignment horizontal="center" vertical="center"/>
      <protection hidden="1"/>
    </xf>
    <xf numFmtId="9" fontId="6" fillId="0" borderId="27" xfId="2" applyFont="1" applyBorder="1" applyAlignment="1" applyProtection="1">
      <alignment horizontal="center" vertical="center"/>
      <protection locked="0" hidden="1"/>
    </xf>
    <xf numFmtId="1" fontId="6" fillId="4" borderId="29" xfId="0" applyNumberFormat="1" applyFont="1" applyFill="1" applyBorder="1" applyAlignment="1" applyProtection="1">
      <alignment horizontal="center" vertical="center"/>
      <protection hidden="1"/>
    </xf>
    <xf numFmtId="3" fontId="7" fillId="0" borderId="9" xfId="0" applyNumberFormat="1"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10" fillId="0" borderId="0" xfId="0" applyFont="1" applyAlignment="1" applyProtection="1">
      <alignment horizontal="center" vertical="center" wrapText="1"/>
      <protection hidden="1"/>
    </xf>
    <xf numFmtId="3" fontId="6" fillId="0" borderId="0" xfId="0" applyNumberFormat="1" applyFont="1" applyAlignment="1" applyProtection="1">
      <alignment horizontal="center" vertical="center"/>
      <protection hidden="1"/>
    </xf>
    <xf numFmtId="0" fontId="6" fillId="0" borderId="2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165" fontId="6" fillId="2" borderId="36" xfId="1" applyNumberFormat="1" applyFont="1" applyFill="1" applyBorder="1" applyAlignment="1" applyProtection="1">
      <alignment horizontal="center" vertical="center"/>
      <protection hidden="1"/>
    </xf>
    <xf numFmtId="165" fontId="6" fillId="0" borderId="36" xfId="1" applyNumberFormat="1" applyFont="1" applyBorder="1" applyAlignment="1" applyProtection="1">
      <alignment horizontal="center" vertical="center"/>
      <protection hidden="1"/>
    </xf>
    <xf numFmtId="165" fontId="6" fillId="7" borderId="37" xfId="1" applyNumberFormat="1" applyFont="1" applyFill="1" applyBorder="1" applyAlignment="1" applyProtection="1">
      <alignment horizontal="center" vertical="center"/>
      <protection hidden="1"/>
    </xf>
    <xf numFmtId="0" fontId="6" fillId="0" borderId="21"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protection hidden="1"/>
    </xf>
    <xf numFmtId="165" fontId="6" fillId="2" borderId="8" xfId="1" applyNumberFormat="1" applyFont="1" applyFill="1" applyBorder="1" applyAlignment="1" applyProtection="1">
      <alignment horizontal="center" vertical="center"/>
      <protection hidden="1"/>
    </xf>
    <xf numFmtId="165" fontId="6" fillId="0" borderId="8" xfId="1" applyNumberFormat="1" applyFont="1" applyBorder="1" applyAlignment="1" applyProtection="1">
      <alignment horizontal="center" vertical="center"/>
      <protection hidden="1"/>
    </xf>
    <xf numFmtId="165" fontId="6" fillId="0" borderId="37" xfId="1" applyNumberFormat="1" applyFont="1" applyFill="1" applyBorder="1" applyAlignment="1" applyProtection="1">
      <alignment horizontal="center" vertical="center"/>
      <protection hidden="1"/>
    </xf>
    <xf numFmtId="165" fontId="6" fillId="2" borderId="9" xfId="1" applyNumberFormat="1" applyFont="1" applyFill="1" applyBorder="1" applyAlignment="1" applyProtection="1">
      <alignment horizontal="center" vertical="center"/>
      <protection hidden="1"/>
    </xf>
    <xf numFmtId="165" fontId="6" fillId="2" borderId="34" xfId="1" applyNumberFormat="1" applyFont="1" applyFill="1" applyBorder="1" applyAlignment="1" applyProtection="1">
      <alignment horizontal="center" vertical="center"/>
      <protection hidden="1"/>
    </xf>
    <xf numFmtId="165" fontId="6" fillId="0" borderId="9" xfId="1" applyNumberFormat="1" applyFont="1" applyBorder="1" applyAlignment="1" applyProtection="1">
      <alignment horizontal="center" vertical="center"/>
      <protection hidden="1"/>
    </xf>
    <xf numFmtId="165" fontId="6" fillId="0" borderId="0" xfId="1" applyNumberFormat="1" applyFont="1" applyBorder="1" applyAlignment="1" applyProtection="1">
      <alignment horizontal="center" vertical="center"/>
      <protection hidden="1"/>
    </xf>
    <xf numFmtId="9" fontId="9" fillId="2" borderId="6" xfId="0" applyNumberFormat="1" applyFont="1" applyFill="1" applyBorder="1" applyAlignment="1" applyProtection="1">
      <alignment horizontal="center" vertical="center"/>
      <protection hidden="1"/>
    </xf>
    <xf numFmtId="167" fontId="8" fillId="0" borderId="0" xfId="0" applyNumberFormat="1" applyFont="1" applyAlignment="1" applyProtection="1">
      <alignment horizontal="center" vertical="center"/>
      <protection hidden="1"/>
    </xf>
    <xf numFmtId="0" fontId="6" fillId="0" borderId="41" xfId="0" applyFont="1" applyBorder="1" applyAlignment="1" applyProtection="1">
      <alignment horizontal="center" vertical="center"/>
      <protection hidden="1"/>
    </xf>
    <xf numFmtId="3" fontId="6" fillId="0" borderId="5"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167" fontId="6" fillId="0" borderId="0" xfId="0" applyNumberFormat="1" applyFont="1" applyAlignment="1" applyProtection="1">
      <alignment horizontal="center" vertical="center"/>
      <protection hidden="1"/>
    </xf>
    <xf numFmtId="0" fontId="6" fillId="0" borderId="42" xfId="0" applyFont="1" applyBorder="1" applyAlignment="1" applyProtection="1">
      <alignment horizontal="center" vertical="center"/>
      <protection hidden="1"/>
    </xf>
    <xf numFmtId="3" fontId="6"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3" fontId="6" fillId="6" borderId="6" xfId="0" applyNumberFormat="1" applyFont="1" applyFill="1" applyBorder="1" applyAlignment="1" applyProtection="1">
      <alignment horizontal="center" vertical="center"/>
      <protection hidden="1"/>
    </xf>
    <xf numFmtId="166" fontId="9" fillId="2" borderId="27" xfId="0" applyNumberFormat="1" applyFont="1" applyFill="1" applyBorder="1" applyAlignment="1" applyProtection="1">
      <alignment horizontal="center" vertical="center"/>
      <protection hidden="1"/>
    </xf>
    <xf numFmtId="9" fontId="6" fillId="0" borderId="0" xfId="2" applyFont="1" applyBorder="1" applyAlignment="1" applyProtection="1">
      <alignment horizontal="center" vertical="center"/>
      <protection hidden="1"/>
    </xf>
    <xf numFmtId="3" fontId="6" fillId="6" borderId="38" xfId="0" applyNumberFormat="1" applyFont="1" applyFill="1" applyBorder="1" applyAlignment="1" applyProtection="1">
      <alignment horizontal="center" vertical="center"/>
      <protection hidden="1"/>
    </xf>
    <xf numFmtId="3" fontId="9" fillId="6" borderId="38" xfId="0" applyNumberFormat="1" applyFont="1" applyFill="1" applyBorder="1" applyAlignment="1" applyProtection="1">
      <alignment horizontal="center" vertical="center"/>
      <protection hidden="1"/>
    </xf>
    <xf numFmtId="3" fontId="6" fillId="6" borderId="39" xfId="0" applyNumberFormat="1" applyFont="1" applyFill="1" applyBorder="1" applyAlignment="1" applyProtection="1">
      <alignment horizontal="center" vertical="center"/>
      <protection hidden="1"/>
    </xf>
    <xf numFmtId="3" fontId="9" fillId="0" borderId="5" xfId="0" applyNumberFormat="1" applyFont="1" applyBorder="1" applyAlignment="1" applyProtection="1">
      <alignment horizontal="center" vertical="center"/>
      <protection hidden="1"/>
    </xf>
    <xf numFmtId="3" fontId="6" fillId="0" borderId="2" xfId="0" applyNumberFormat="1" applyFont="1" applyBorder="1" applyAlignment="1" applyProtection="1">
      <alignment horizontal="center" vertical="center"/>
      <protection hidden="1"/>
    </xf>
    <xf numFmtId="166" fontId="6" fillId="0" borderId="0" xfId="0" applyNumberFormat="1" applyFont="1" applyAlignment="1" applyProtection="1">
      <alignment horizontal="center" vertical="center"/>
      <protection hidden="1"/>
    </xf>
    <xf numFmtId="9" fontId="6" fillId="0" borderId="0" xfId="0" applyNumberFormat="1" applyFont="1" applyAlignment="1" applyProtection="1">
      <alignment horizontal="center" vertical="center"/>
      <protection hidden="1"/>
    </xf>
    <xf numFmtId="3" fontId="6" fillId="0" borderId="9" xfId="0" applyNumberFormat="1" applyFont="1" applyBorder="1" applyAlignment="1" applyProtection="1">
      <alignment horizontal="center" vertical="center"/>
      <protection hidden="1"/>
    </xf>
    <xf numFmtId="3" fontId="9" fillId="0" borderId="9" xfId="0" applyNumberFormat="1" applyFont="1" applyBorder="1" applyAlignment="1" applyProtection="1">
      <alignment horizontal="center" vertical="center"/>
      <protection hidden="1"/>
    </xf>
    <xf numFmtId="3" fontId="6" fillId="0" borderId="4" xfId="0" applyNumberFormat="1" applyFont="1" applyBorder="1" applyAlignment="1" applyProtection="1">
      <alignment horizontal="center" vertical="center"/>
      <protection hidden="1"/>
    </xf>
    <xf numFmtId="3" fontId="11" fillId="0" borderId="21" xfId="0" applyNumberFormat="1" applyFont="1" applyBorder="1" applyAlignment="1" applyProtection="1">
      <alignment horizontal="center" vertical="center" wrapText="1"/>
      <protection hidden="1"/>
    </xf>
    <xf numFmtId="0" fontId="6" fillId="0" borderId="22"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3" fontId="11" fillId="0" borderId="0" xfId="0" applyNumberFormat="1" applyFont="1" applyAlignment="1" applyProtection="1">
      <alignment horizontal="center" vertical="center" wrapText="1"/>
      <protection hidden="1"/>
    </xf>
    <xf numFmtId="3" fontId="12" fillId="0" borderId="0" xfId="0" applyNumberFormat="1" applyFont="1" applyAlignment="1" applyProtection="1">
      <alignment horizontal="center" vertical="center" wrapText="1"/>
      <protection hidden="1"/>
    </xf>
    <xf numFmtId="0" fontId="13" fillId="6" borderId="24" xfId="0" applyFont="1" applyFill="1" applyBorder="1" applyAlignment="1" applyProtection="1">
      <alignment horizontal="center" vertical="center"/>
      <protection hidden="1"/>
    </xf>
    <xf numFmtId="0" fontId="13" fillId="6" borderId="26" xfId="0" applyFont="1" applyFill="1" applyBorder="1" applyAlignment="1" applyProtection="1">
      <alignment horizontal="center" vertical="center"/>
      <protection hidden="1"/>
    </xf>
    <xf numFmtId="0" fontId="13" fillId="6" borderId="28" xfId="0" applyFont="1" applyFill="1" applyBorder="1" applyAlignment="1" applyProtection="1">
      <alignment horizontal="center" vertical="center"/>
      <protection hidden="1"/>
    </xf>
    <xf numFmtId="0" fontId="14" fillId="6" borderId="3" xfId="0" applyFont="1" applyFill="1" applyBorder="1" applyAlignment="1" applyProtection="1">
      <alignment horizontal="center" vertical="center" wrapText="1"/>
      <protection hidden="1"/>
    </xf>
    <xf numFmtId="10" fontId="14" fillId="6" borderId="9" xfId="0" applyNumberFormat="1" applyFont="1" applyFill="1" applyBorder="1" applyAlignment="1" applyProtection="1">
      <alignment horizontal="center" vertical="center" wrapText="1"/>
      <protection hidden="1"/>
    </xf>
    <xf numFmtId="0" fontId="14" fillId="6" borderId="9" xfId="0" applyFont="1" applyFill="1" applyBorder="1" applyAlignment="1" applyProtection="1">
      <alignment horizontal="center" vertical="center" wrapText="1"/>
      <protection hidden="1"/>
    </xf>
    <xf numFmtId="0" fontId="14" fillId="6" borderId="4" xfId="0" applyFont="1" applyFill="1" applyBorder="1" applyAlignment="1" applyProtection="1">
      <alignment horizontal="center" vertical="center" wrapText="1"/>
      <protection hidden="1"/>
    </xf>
    <xf numFmtId="0" fontId="13" fillId="6" borderId="7" xfId="0" applyFont="1" applyFill="1" applyBorder="1" applyAlignment="1" applyProtection="1">
      <alignment horizontal="center" vertical="center"/>
      <protection hidden="1"/>
    </xf>
    <xf numFmtId="0" fontId="13" fillId="6" borderId="3" xfId="0" applyFont="1" applyFill="1" applyBorder="1" applyAlignment="1" applyProtection="1">
      <alignment horizontal="center" vertical="center"/>
      <protection hidden="1"/>
    </xf>
    <xf numFmtId="0" fontId="13" fillId="6" borderId="1" xfId="0" applyFont="1" applyFill="1" applyBorder="1" applyAlignment="1" applyProtection="1">
      <alignment horizontal="center" vertical="center" wrapText="1"/>
      <protection hidden="1"/>
    </xf>
    <xf numFmtId="166" fontId="9" fillId="2" borderId="0" xfId="0" applyNumberFormat="1" applyFont="1" applyFill="1" applyAlignment="1" applyProtection="1">
      <alignment horizontal="center" vertical="center"/>
      <protection hidden="1"/>
    </xf>
    <xf numFmtId="166" fontId="9" fillId="2" borderId="0" xfId="0" applyNumberFormat="1" applyFont="1" applyFill="1" applyAlignment="1" applyProtection="1">
      <alignment horizontal="center" vertical="center"/>
      <protection locked="0" hidden="1"/>
    </xf>
    <xf numFmtId="9" fontId="6" fillId="0" borderId="0" xfId="2" applyFont="1" applyBorder="1" applyAlignment="1" applyProtection="1">
      <alignment horizontal="center" vertical="center"/>
      <protection locked="0" hidden="1"/>
    </xf>
    <xf numFmtId="1" fontId="6" fillId="4" borderId="0" xfId="0" applyNumberFormat="1" applyFont="1" applyFill="1" applyAlignment="1" applyProtection="1">
      <alignment horizontal="center" vertical="center"/>
      <protection hidden="1"/>
    </xf>
    <xf numFmtId="9" fontId="9" fillId="2" borderId="0" xfId="0" applyNumberFormat="1" applyFont="1" applyFill="1" applyAlignment="1" applyProtection="1">
      <alignment horizontal="center" vertical="center"/>
      <protection hidden="1"/>
    </xf>
    <xf numFmtId="165" fontId="6" fillId="4" borderId="0" xfId="1" applyNumberFormat="1" applyFont="1" applyFill="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165" fontId="6" fillId="0" borderId="44" xfId="1" applyNumberFormat="1" applyFont="1" applyFill="1" applyBorder="1" applyAlignment="1" applyProtection="1">
      <alignment horizontal="center" vertical="center"/>
      <protection hidden="1"/>
    </xf>
    <xf numFmtId="0" fontId="8" fillId="3" borderId="30" xfId="0" applyFont="1" applyFill="1" applyBorder="1" applyAlignment="1" applyProtection="1">
      <alignment horizontal="center" vertical="center"/>
      <protection hidden="1"/>
    </xf>
    <xf numFmtId="0" fontId="8" fillId="3" borderId="31" xfId="0" applyFont="1" applyFill="1" applyBorder="1" applyAlignment="1" applyProtection="1">
      <alignment horizontal="center" vertical="center"/>
      <protection hidden="1"/>
    </xf>
    <xf numFmtId="0" fontId="8" fillId="3" borderId="32"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8" fillId="3" borderId="33" xfId="0" applyFont="1" applyFill="1" applyBorder="1" applyAlignment="1" applyProtection="1">
      <alignment horizontal="center" vertical="center"/>
      <protection hidden="1"/>
    </xf>
    <xf numFmtId="0" fontId="8" fillId="3" borderId="40" xfId="0" applyFont="1" applyFill="1" applyBorder="1" applyAlignment="1" applyProtection="1">
      <alignment horizontal="center" vertical="center"/>
      <protection hidden="1"/>
    </xf>
    <xf numFmtId="3" fontId="7" fillId="0" borderId="34" xfId="0" applyNumberFormat="1"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8" fillId="6" borderId="7" xfId="0" applyFont="1" applyFill="1" applyBorder="1" applyAlignment="1" applyProtection="1">
      <alignment horizontal="center" vertical="center"/>
      <protection hidden="1"/>
    </xf>
    <xf numFmtId="166" fontId="9" fillId="2" borderId="6" xfId="0" applyNumberFormat="1" applyFont="1" applyFill="1" applyBorder="1" applyAlignment="1" applyProtection="1">
      <alignment horizontal="center" vertical="center"/>
      <protection hidden="1"/>
    </xf>
    <xf numFmtId="165" fontId="9" fillId="2" borderId="6" xfId="1" applyNumberFormat="1"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65" fontId="9" fillId="2" borderId="4" xfId="1" applyNumberFormat="1" applyFont="1" applyFill="1" applyBorder="1" applyAlignment="1" applyProtection="1">
      <alignment horizontal="center" vertical="center"/>
      <protection hidden="1"/>
    </xf>
    <xf numFmtId="0" fontId="8" fillId="6" borderId="30" xfId="0" applyFont="1" applyFill="1" applyBorder="1" applyAlignment="1" applyProtection="1">
      <alignment horizontal="center" vertical="center"/>
      <protection hidden="1"/>
    </xf>
    <xf numFmtId="0" fontId="8" fillId="6" borderId="31" xfId="0" applyFont="1" applyFill="1" applyBorder="1" applyAlignment="1" applyProtection="1">
      <alignment horizontal="center" vertical="center"/>
      <protection hidden="1"/>
    </xf>
    <xf numFmtId="0" fontId="8" fillId="6" borderId="31" xfId="0" applyFont="1" applyFill="1" applyBorder="1" applyAlignment="1" applyProtection="1">
      <alignment horizontal="center" vertical="center" wrapText="1"/>
      <protection hidden="1"/>
    </xf>
    <xf numFmtId="0" fontId="8" fillId="6" borderId="32" xfId="0" applyFont="1" applyFill="1" applyBorder="1" applyAlignment="1" applyProtection="1">
      <alignment horizontal="center" vertical="center" wrapText="1"/>
      <protection hidden="1"/>
    </xf>
    <xf numFmtId="3" fontId="6" fillId="6" borderId="36" xfId="0" applyNumberFormat="1" applyFont="1" applyFill="1" applyBorder="1" applyAlignment="1" applyProtection="1">
      <alignment horizontal="center" vertical="center"/>
      <protection hidden="1"/>
    </xf>
    <xf numFmtId="3" fontId="9" fillId="6" borderId="36" xfId="0" applyNumberFormat="1" applyFont="1" applyFill="1" applyBorder="1" applyAlignment="1" applyProtection="1">
      <alignment horizontal="center" vertical="center"/>
      <protection hidden="1"/>
    </xf>
    <xf numFmtId="3" fontId="6" fillId="6" borderId="37" xfId="0" applyNumberFormat="1" applyFont="1" applyFill="1" applyBorder="1" applyAlignment="1" applyProtection="1">
      <alignment horizontal="center" vertical="center"/>
      <protection hidden="1"/>
    </xf>
    <xf numFmtId="3" fontId="5" fillId="0" borderId="32" xfId="0" applyNumberFormat="1" applyFont="1" applyBorder="1" applyAlignment="1" applyProtection="1">
      <alignment horizontal="center" vertical="center"/>
      <protection hidden="1"/>
    </xf>
    <xf numFmtId="3" fontId="5" fillId="0" borderId="31" xfId="0" applyNumberFormat="1" applyFont="1" applyBorder="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5" fillId="0" borderId="20" xfId="0" applyFont="1" applyBorder="1" applyAlignment="1" applyProtection="1">
      <alignment horizontal="center" vertical="center"/>
      <protection hidden="1"/>
    </xf>
    <xf numFmtId="3" fontId="6" fillId="6" borderId="1" xfId="0" applyNumberFormat="1" applyFont="1" applyFill="1" applyBorder="1" applyAlignment="1" applyProtection="1">
      <alignment horizontal="center" vertical="center"/>
      <protection hidden="1"/>
    </xf>
    <xf numFmtId="3" fontId="6" fillId="6" borderId="5" xfId="0" applyNumberFormat="1" applyFont="1" applyFill="1" applyBorder="1" applyAlignment="1" applyProtection="1">
      <alignment horizontal="center" vertical="center"/>
      <protection hidden="1"/>
    </xf>
    <xf numFmtId="3" fontId="9" fillId="6" borderId="5" xfId="0" applyNumberFormat="1" applyFont="1" applyFill="1" applyBorder="1" applyAlignment="1" applyProtection="1">
      <alignment horizontal="center" vertical="center"/>
      <protection hidden="1"/>
    </xf>
    <xf numFmtId="3" fontId="6" fillId="6" borderId="35" xfId="0" applyNumberFormat="1" applyFont="1" applyFill="1" applyBorder="1" applyAlignment="1" applyProtection="1">
      <alignment horizontal="center" vertical="center"/>
      <protection hidden="1"/>
    </xf>
    <xf numFmtId="3" fontId="6" fillId="6" borderId="7" xfId="0" applyNumberFormat="1" applyFont="1" applyFill="1" applyBorder="1" applyAlignment="1" applyProtection="1">
      <alignment horizontal="center" vertical="center"/>
      <protection hidden="1"/>
    </xf>
    <xf numFmtId="3" fontId="6" fillId="6" borderId="3" xfId="0" applyNumberFormat="1" applyFont="1" applyFill="1" applyBorder="1" applyAlignment="1" applyProtection="1">
      <alignment horizontal="center" vertical="center"/>
      <protection hidden="1"/>
    </xf>
    <xf numFmtId="3" fontId="6" fillId="6" borderId="9" xfId="0" applyNumberFormat="1" applyFont="1" applyFill="1" applyBorder="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6" fillId="6" borderId="4" xfId="0" applyNumberFormat="1" applyFont="1" applyFill="1" applyBorder="1" applyAlignment="1" applyProtection="1">
      <alignment horizontal="center" vertical="center"/>
      <protection hidden="1"/>
    </xf>
    <xf numFmtId="3" fontId="7" fillId="6" borderId="2" xfId="0" applyNumberFormat="1" applyFont="1" applyFill="1" applyBorder="1" applyAlignment="1" applyProtection="1">
      <alignment horizontal="center" vertical="center"/>
      <protection hidden="1"/>
    </xf>
    <xf numFmtId="165" fontId="6" fillId="0" borderId="2" xfId="1" applyNumberFormat="1" applyFont="1" applyBorder="1" applyAlignment="1" applyProtection="1">
      <alignment horizontal="right" vertical="center"/>
      <protection hidden="1"/>
    </xf>
    <xf numFmtId="9" fontId="9" fillId="2" borderId="6" xfId="0" applyNumberFormat="1" applyFont="1" applyFill="1" applyBorder="1" applyAlignment="1" applyProtection="1">
      <alignment horizontal="right" vertical="center"/>
      <protection hidden="1"/>
    </xf>
    <xf numFmtId="1" fontId="6" fillId="4" borderId="6" xfId="0" applyNumberFormat="1" applyFont="1" applyFill="1" applyBorder="1" applyAlignment="1" applyProtection="1">
      <alignment horizontal="right" vertical="center"/>
      <protection hidden="1"/>
    </xf>
    <xf numFmtId="165" fontId="6" fillId="4" borderId="4" xfId="1" applyNumberFormat="1" applyFont="1" applyFill="1" applyBorder="1" applyAlignment="1" applyProtection="1">
      <alignment horizontal="right" vertical="center"/>
      <protection hidden="1"/>
    </xf>
    <xf numFmtId="0" fontId="19" fillId="0" borderId="12" xfId="0" applyFont="1" applyBorder="1" applyAlignment="1" applyProtection="1">
      <alignment horizontal="right" vertical="center" wrapText="1"/>
      <protection hidden="1"/>
    </xf>
    <xf numFmtId="0" fontId="19" fillId="0" borderId="23" xfId="0" applyFont="1" applyBorder="1" applyAlignment="1" applyProtection="1">
      <alignment horizontal="right" vertical="center" wrapText="1"/>
      <protection hidden="1"/>
    </xf>
    <xf numFmtId="0" fontId="5" fillId="5" borderId="0" xfId="0" applyFont="1" applyFill="1" applyAlignment="1" applyProtection="1">
      <alignment horizontal="center" vertical="center"/>
      <protection hidden="1"/>
    </xf>
    <xf numFmtId="3" fontId="18" fillId="0" borderId="0" xfId="0" applyNumberFormat="1" applyFont="1" applyAlignment="1" applyProtection="1">
      <alignment horizontal="center" vertical="center" wrapText="1"/>
      <protection hidden="1"/>
    </xf>
    <xf numFmtId="0" fontId="5" fillId="0" borderId="10"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0" fontId="7" fillId="5" borderId="10" xfId="0" applyFont="1" applyFill="1" applyBorder="1" applyAlignment="1" applyProtection="1">
      <alignment horizontal="center" vertical="center"/>
      <protection hidden="1"/>
    </xf>
    <xf numFmtId="0" fontId="7" fillId="5" borderId="43" xfId="0" applyFont="1" applyFill="1" applyBorder="1" applyAlignment="1" applyProtection="1">
      <alignment horizontal="center" vertical="center"/>
      <protection hidden="1"/>
    </xf>
    <xf numFmtId="0" fontId="7" fillId="5" borderId="11" xfId="0" applyFont="1" applyFill="1" applyBorder="1" applyAlignment="1" applyProtection="1">
      <alignment horizontal="center" vertical="center"/>
      <protection hidden="1"/>
    </xf>
    <xf numFmtId="0" fontId="8" fillId="5" borderId="1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protection hidden="1"/>
    </xf>
    <xf numFmtId="0" fontId="8" fillId="5" borderId="25" xfId="0" applyFont="1" applyFill="1" applyBorder="1" applyAlignment="1" applyProtection="1">
      <alignment horizontal="center" vertical="center"/>
      <protection hidden="1"/>
    </xf>
    <xf numFmtId="0" fontId="10" fillId="0" borderId="18"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5" fillId="0" borderId="18"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7" fillId="5" borderId="17" xfId="0" applyFont="1" applyFill="1" applyBorder="1" applyAlignment="1" applyProtection="1">
      <alignment horizontal="center" vertical="center"/>
      <protection hidden="1"/>
    </xf>
    <xf numFmtId="0" fontId="7" fillId="5" borderId="18" xfId="0" applyFont="1" applyFill="1" applyBorder="1" applyAlignment="1" applyProtection="1">
      <alignment horizontal="center" vertical="center"/>
      <protection hidden="1"/>
    </xf>
    <xf numFmtId="0" fontId="7" fillId="5" borderId="19" xfId="0" applyFont="1" applyFill="1" applyBorder="1" applyAlignment="1" applyProtection="1">
      <alignment horizontal="center" vertical="center"/>
      <protection hidden="1"/>
    </xf>
    <xf numFmtId="0" fontId="7" fillId="5" borderId="22"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protection hidden="1"/>
    </xf>
    <xf numFmtId="0" fontId="7" fillId="5" borderId="23" xfId="0" applyFont="1" applyFill="1" applyBorder="1" applyAlignment="1" applyProtection="1">
      <alignment horizontal="center" vertical="center"/>
      <protection hidden="1"/>
    </xf>
    <xf numFmtId="0" fontId="7" fillId="5" borderId="1" xfId="0" applyFont="1" applyFill="1" applyBorder="1" applyAlignment="1" applyProtection="1">
      <alignment horizontal="center" vertical="center"/>
      <protection hidden="1"/>
    </xf>
    <xf numFmtId="0" fontId="7" fillId="5" borderId="15" xfId="0" applyFont="1" applyFill="1" applyBorder="1" applyAlignment="1" applyProtection="1">
      <alignment horizontal="center" vertical="center"/>
      <protection hidden="1"/>
    </xf>
    <xf numFmtId="0" fontId="7" fillId="5" borderId="5" xfId="0" applyFont="1" applyFill="1" applyBorder="1" applyAlignment="1" applyProtection="1">
      <alignment horizontal="center" vertical="center"/>
      <protection hidden="1"/>
    </xf>
    <xf numFmtId="0" fontId="7" fillId="5" borderId="2" xfId="0" applyFont="1" applyFill="1" applyBorder="1" applyAlignment="1" applyProtection="1">
      <alignment horizontal="center" vertical="center"/>
      <protection hidden="1"/>
    </xf>
    <xf numFmtId="0" fontId="6" fillId="6" borderId="3" xfId="0" applyFont="1" applyFill="1" applyBorder="1" applyAlignment="1" applyProtection="1">
      <alignment horizontal="center" vertical="center"/>
      <protection hidden="1"/>
    </xf>
    <xf numFmtId="0" fontId="6" fillId="6" borderId="16" xfId="0" applyFont="1" applyFill="1" applyBorder="1" applyAlignment="1" applyProtection="1">
      <alignment horizontal="center" vertical="center"/>
      <protection hidden="1"/>
    </xf>
    <xf numFmtId="0" fontId="6" fillId="6" borderId="9" xfId="0" applyFont="1" applyFill="1" applyBorder="1" applyAlignment="1" applyProtection="1">
      <alignment horizontal="center" vertical="center"/>
      <protection hidden="1"/>
    </xf>
    <xf numFmtId="0" fontId="6" fillId="6" borderId="4" xfId="0"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wrapText="1"/>
      <protection hidden="1"/>
    </xf>
    <xf numFmtId="0" fontId="8" fillId="3" borderId="2" xfId="0" applyFont="1" applyFill="1" applyBorder="1" applyAlignment="1" applyProtection="1">
      <alignment horizontal="center" vertical="center" wrapText="1"/>
      <protection hidden="1"/>
    </xf>
    <xf numFmtId="3" fontId="15" fillId="0" borderId="0" xfId="0" applyNumberFormat="1" applyFont="1" applyAlignment="1" applyProtection="1">
      <alignment horizontal="center" vertical="center" wrapText="1"/>
      <protection hidden="1"/>
    </xf>
  </cellXfs>
  <cellStyles count="3">
    <cellStyle name="Millares" xfId="1" builtinId="3"/>
    <cellStyle name="Normal" xfId="0" builtinId="0"/>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0</xdr:colOff>
      <xdr:row>6</xdr:row>
      <xdr:rowOff>29314</xdr:rowOff>
    </xdr:to>
    <xdr:pic>
      <xdr:nvPicPr>
        <xdr:cNvPr id="2" name="Imagen 1" descr="logo">
          <a:extLst>
            <a:ext uri="{FF2B5EF4-FFF2-40B4-BE49-F238E27FC236}">
              <a16:creationId xmlns:a16="http://schemas.microsoft.com/office/drawing/2014/main" id="{62DE0FD3-30DA-41D9-92AB-CE4AC5E7BF0D}"/>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1524000" y="184150"/>
          <a:ext cx="3271079" cy="80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69573</xdr:colOff>
      <xdr:row>1</xdr:row>
      <xdr:rowOff>103530</xdr:rowOff>
    </xdr:from>
    <xdr:to>
      <xdr:col>2</xdr:col>
      <xdr:colOff>72748</xdr:colOff>
      <xdr:row>6</xdr:row>
      <xdr:rowOff>107444</xdr:rowOff>
    </xdr:to>
    <xdr:pic>
      <xdr:nvPicPr>
        <xdr:cNvPr id="3" name="Imagen 2" descr="logo">
          <a:extLst>
            <a:ext uri="{FF2B5EF4-FFF2-40B4-BE49-F238E27FC236}">
              <a16:creationId xmlns:a16="http://schemas.microsoft.com/office/drawing/2014/main" id="{37883788-1722-4283-BCB2-B5FF80DF70C7}"/>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418823" y="255930"/>
          <a:ext cx="3271079" cy="80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60887</xdr:colOff>
      <xdr:row>1</xdr:row>
      <xdr:rowOff>53744</xdr:rowOff>
    </xdr:from>
    <xdr:to>
      <xdr:col>3</xdr:col>
      <xdr:colOff>1059623</xdr:colOff>
      <xdr:row>6</xdr:row>
      <xdr:rowOff>142874</xdr:rowOff>
    </xdr:to>
    <xdr:pic>
      <xdr:nvPicPr>
        <xdr:cNvPr id="4" name="Imagen 3" descr="logo">
          <a:extLst>
            <a:ext uri="{FF2B5EF4-FFF2-40B4-BE49-F238E27FC236}">
              <a16:creationId xmlns:a16="http://schemas.microsoft.com/office/drawing/2014/main" id="{2C8B2FEA-CC73-4237-AE2F-D9971FF75E3D}"/>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238687" y="206144"/>
          <a:ext cx="3368114" cy="860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6</xdr:row>
      <xdr:rowOff>35478</xdr:rowOff>
    </xdr:to>
    <xdr:pic>
      <xdr:nvPicPr>
        <xdr:cNvPr id="2" name="Imagen 1" descr="logo">
          <a:extLst>
            <a:ext uri="{FF2B5EF4-FFF2-40B4-BE49-F238E27FC236}">
              <a16:creationId xmlns:a16="http://schemas.microsoft.com/office/drawing/2014/main" id="{F1A0D513-CFFB-4ACF-9AA0-E891AB4F180F}"/>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349250" y="184150"/>
          <a:ext cx="0" cy="80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103530</xdr:rowOff>
    </xdr:from>
    <xdr:to>
      <xdr:col>1</xdr:col>
      <xdr:colOff>0</xdr:colOff>
      <xdr:row>6</xdr:row>
      <xdr:rowOff>113608</xdr:rowOff>
    </xdr:to>
    <xdr:pic>
      <xdr:nvPicPr>
        <xdr:cNvPr id="3" name="Imagen 2" descr="logo">
          <a:extLst>
            <a:ext uri="{FF2B5EF4-FFF2-40B4-BE49-F238E27FC236}">
              <a16:creationId xmlns:a16="http://schemas.microsoft.com/office/drawing/2014/main" id="{08AAFF8E-865C-4E81-A58C-264B08A563F5}"/>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418823" y="287680"/>
          <a:ext cx="0" cy="77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79CD-F639-4469-8D7A-9BB22544A4F1}">
  <dimension ref="A1:X178"/>
  <sheetViews>
    <sheetView showGridLines="0" tabSelected="1" zoomScaleNormal="100" workbookViewId="0">
      <selection activeCell="G23" sqref="G23"/>
    </sheetView>
  </sheetViews>
  <sheetFormatPr baseColWidth="10" defaultColWidth="0" defaultRowHeight="12" zeroHeight="1" outlineLevelRow="1" x14ac:dyDescent="0.25"/>
  <cols>
    <col min="1" max="1" width="2.5703125" style="2" customWidth="1"/>
    <col min="2" max="2" width="1.7109375" style="2" customWidth="1"/>
    <col min="3" max="3" width="32.42578125" style="2" bestFit="1" customWidth="1"/>
    <col min="4" max="4" width="32.5703125" style="2" customWidth="1"/>
    <col min="5" max="5" width="1.7109375" style="2" customWidth="1"/>
    <col min="6" max="7" width="12.85546875" style="2" customWidth="1"/>
    <col min="8" max="8" width="11" style="2" bestFit="1" customWidth="1"/>
    <col min="9" max="9" width="12.140625" style="2" bestFit="1" customWidth="1"/>
    <col min="10" max="10" width="13.140625" style="2" customWidth="1"/>
    <col min="11" max="11" width="12" style="2" bestFit="1" customWidth="1"/>
    <col min="12" max="12" width="10.42578125" style="2" bestFit="1" customWidth="1"/>
    <col min="13" max="13" width="1.7109375" style="2" customWidth="1"/>
    <col min="14" max="14" width="3.5703125" style="2" customWidth="1"/>
    <col min="15" max="15" width="3.5703125" style="2" hidden="1" customWidth="1"/>
    <col min="16" max="16" width="25.5703125" style="2" hidden="1" customWidth="1"/>
    <col min="17" max="17" width="30.5703125" style="2" hidden="1" customWidth="1"/>
    <col min="18" max="18" width="9.28515625" style="2" hidden="1" customWidth="1"/>
    <col min="19" max="19" width="21.140625" style="2" hidden="1" customWidth="1"/>
    <col min="20" max="20" width="17.85546875" style="2" hidden="1" customWidth="1"/>
    <col min="21" max="21" width="20.85546875" style="2" hidden="1" customWidth="1"/>
    <col min="22" max="22" width="12.85546875" style="2" hidden="1" customWidth="1"/>
    <col min="23" max="23" width="14.7109375" style="2" hidden="1" customWidth="1"/>
    <col min="24" max="16384" width="21.42578125" style="2" hidden="1"/>
  </cols>
  <sheetData>
    <row r="1" spans="2:13" ht="12.75" thickBot="1" x14ac:dyDescent="0.3"/>
    <row r="2" spans="2:13" x14ac:dyDescent="0.25">
      <c r="B2" s="3"/>
      <c r="C2" s="4"/>
      <c r="D2" s="4"/>
      <c r="E2" s="4"/>
      <c r="F2" s="4"/>
      <c r="G2" s="4"/>
      <c r="H2" s="4"/>
      <c r="I2" s="4"/>
      <c r="J2" s="4"/>
      <c r="K2" s="4"/>
      <c r="L2" s="4"/>
      <c r="M2" s="5"/>
    </row>
    <row r="3" spans="2:13" ht="12.75" x14ac:dyDescent="0.25">
      <c r="B3" s="6"/>
      <c r="C3" s="129" t="s">
        <v>17</v>
      </c>
      <c r="D3" s="129"/>
      <c r="E3" s="129"/>
      <c r="F3" s="129"/>
      <c r="G3" s="129"/>
      <c r="H3" s="129"/>
      <c r="I3" s="129"/>
      <c r="J3" s="129"/>
      <c r="K3" s="129"/>
      <c r="L3" s="129"/>
      <c r="M3" s="7"/>
    </row>
    <row r="4" spans="2:13" ht="12.75" x14ac:dyDescent="0.25">
      <c r="B4" s="6"/>
      <c r="C4" s="129" t="s">
        <v>84</v>
      </c>
      <c r="D4" s="129"/>
      <c r="E4" s="129"/>
      <c r="F4" s="129"/>
      <c r="G4" s="129"/>
      <c r="H4" s="129"/>
      <c r="I4" s="129"/>
      <c r="J4" s="129"/>
      <c r="K4" s="129"/>
      <c r="L4" s="129"/>
      <c r="M4" s="7"/>
    </row>
    <row r="5" spans="2:13" ht="12.75" thickBot="1" x14ac:dyDescent="0.3">
      <c r="B5" s="6"/>
      <c r="M5" s="7"/>
    </row>
    <row r="6" spans="2:13" x14ac:dyDescent="0.25">
      <c r="B6" s="6"/>
      <c r="F6" s="136" t="s">
        <v>114</v>
      </c>
      <c r="G6" s="137"/>
      <c r="H6" s="137"/>
      <c r="I6" s="137"/>
      <c r="J6" s="137"/>
      <c r="K6" s="137"/>
      <c r="L6" s="138"/>
      <c r="M6" s="7"/>
    </row>
    <row r="7" spans="2:13" ht="45.75" thickBot="1" x14ac:dyDescent="0.3">
      <c r="B7" s="6"/>
      <c r="F7" s="69"/>
      <c r="G7" s="70" t="s">
        <v>85</v>
      </c>
      <c r="H7" s="70" t="s">
        <v>90</v>
      </c>
      <c r="I7" s="70" t="s">
        <v>109</v>
      </c>
      <c r="J7" s="70" t="s">
        <v>110</v>
      </c>
      <c r="K7" s="71" t="s">
        <v>86</v>
      </c>
      <c r="L7" s="72" t="s">
        <v>87</v>
      </c>
      <c r="M7" s="7"/>
    </row>
    <row r="8" spans="2:13" x14ac:dyDescent="0.25">
      <c r="B8" s="6"/>
      <c r="E8" s="76"/>
      <c r="F8" s="10" t="s">
        <v>0</v>
      </c>
      <c r="G8" s="27">
        <f>IF(D17&gt;0,D12,"Mira el porcentaje financiado")</f>
        <v>26860000</v>
      </c>
      <c r="H8" s="27">
        <f t="shared" ref="H8:H19" si="0">G8*$D$13</f>
        <v>25517000</v>
      </c>
      <c r="I8" s="27">
        <f t="shared" ref="I8:I15" si="1">H8*40%</f>
        <v>10206800</v>
      </c>
      <c r="J8" s="27">
        <f t="shared" ref="J8:J16" si="2">H8*60%</f>
        <v>15310200</v>
      </c>
      <c r="K8" s="28">
        <f>'PP (40%)'!G14</f>
        <v>15310200</v>
      </c>
      <c r="L8" s="29">
        <f>'PP (40%)'!J10</f>
        <v>2296530</v>
      </c>
      <c r="M8" s="7"/>
    </row>
    <row r="9" spans="2:13" ht="12.75" thickBot="1" x14ac:dyDescent="0.3">
      <c r="B9" s="6"/>
      <c r="E9" s="77"/>
      <c r="F9" s="31" t="s">
        <v>1</v>
      </c>
      <c r="G9" s="32">
        <f>G8</f>
        <v>26860000</v>
      </c>
      <c r="H9" s="32">
        <f t="shared" si="0"/>
        <v>25517000</v>
      </c>
      <c r="I9" s="27">
        <f t="shared" si="1"/>
        <v>10206800</v>
      </c>
      <c r="J9" s="32">
        <f t="shared" si="2"/>
        <v>15310200</v>
      </c>
      <c r="K9" s="33">
        <f>'PP (40%)'!G23</f>
        <v>32661760</v>
      </c>
      <c r="L9" s="34">
        <f>+'PP (40%)'!J19</f>
        <v>2449632</v>
      </c>
      <c r="M9" s="7"/>
    </row>
    <row r="10" spans="2:13" x14ac:dyDescent="0.25">
      <c r="B10" s="6"/>
      <c r="C10" s="66" t="s">
        <v>9</v>
      </c>
      <c r="D10" s="9">
        <v>0.01</v>
      </c>
      <c r="E10" s="24"/>
      <c r="F10" s="10" t="s">
        <v>2</v>
      </c>
      <c r="G10" s="32">
        <f>G9*5.2%+G9</f>
        <v>28256720</v>
      </c>
      <c r="H10" s="32">
        <f t="shared" si="0"/>
        <v>26843884</v>
      </c>
      <c r="I10" s="27">
        <f t="shared" si="1"/>
        <v>10737553.600000001</v>
      </c>
      <c r="J10" s="32">
        <f t="shared" si="2"/>
        <v>16106330.399999999</v>
      </c>
      <c r="K10" s="33">
        <f>'PP (40%)'!G32</f>
        <v>51340204</v>
      </c>
      <c r="L10" s="34">
        <f>+'PP (40%)'!J28</f>
        <v>2636416.44</v>
      </c>
      <c r="M10" s="7"/>
    </row>
    <row r="11" spans="2:13" x14ac:dyDescent="0.25">
      <c r="B11" s="6"/>
      <c r="C11" s="67" t="s">
        <v>108</v>
      </c>
      <c r="D11" s="12" t="s">
        <v>65</v>
      </c>
      <c r="E11" s="78"/>
      <c r="F11" s="31" t="s">
        <v>3</v>
      </c>
      <c r="G11" s="32">
        <f t="shared" ref="G11:G15" si="3">G9*5.2%+G9</f>
        <v>28256720</v>
      </c>
      <c r="H11" s="32">
        <f t="shared" si="0"/>
        <v>26843884</v>
      </c>
      <c r="I11" s="27">
        <f t="shared" si="1"/>
        <v>10737553.600000001</v>
      </c>
      <c r="J11" s="32">
        <f t="shared" si="2"/>
        <v>16106330.399999999</v>
      </c>
      <c r="K11" s="33">
        <f>'PP (40%)'!G41</f>
        <v>70018648</v>
      </c>
      <c r="L11" s="34">
        <f>+'PP (40%)'!J37</f>
        <v>2823200.88</v>
      </c>
      <c r="M11" s="7"/>
    </row>
    <row r="12" spans="2:13" x14ac:dyDescent="0.25">
      <c r="B12" s="6"/>
      <c r="C12" s="67" t="s">
        <v>14</v>
      </c>
      <c r="D12" s="17">
        <f>IF(AND(S43="Medicina",Q31="Cuarto de matrícula (25%)"),U38,
IF(AND(S43="Medicina",Q31="Media matrícula (50%)"),T38,
IF(AND(S43="Medicina",Q31="Matrícula completa (100%)"),S38,
IF(AND(S43="Medicina",Q31="Intercambio (10%)"),W38,
IF(AND(S43="Medicina",Q31="Prácticas (30%)"),V38,
IF(AND(S43="Otros programas",Q31="Cuarto de matrícula (25%)"),U39,
IF(AND(S43="Otros programas",Q31="Media matrícula (50%)"),T39,
IF(AND(S43="Otros programas",Q31="Matrícula completa (100%)"),S39,
IF(AND(S43="Otros programas",Q31="Intercambio (10%)"),W39,
IF(AND(S43="Otros programas",Q31="Prácticas (30%)"),V39,"0"))))))))))</f>
        <v>26860000</v>
      </c>
      <c r="E12" s="24"/>
      <c r="F12" s="10" t="s">
        <v>4</v>
      </c>
      <c r="G12" s="32">
        <f t="shared" si="3"/>
        <v>29726069.440000001</v>
      </c>
      <c r="H12" s="32">
        <f t="shared" si="0"/>
        <v>28239765.967999998</v>
      </c>
      <c r="I12" s="27">
        <f t="shared" si="1"/>
        <v>11295906.3872</v>
      </c>
      <c r="J12" s="32">
        <f t="shared" si="2"/>
        <v>16943859.580799997</v>
      </c>
      <c r="K12" s="33">
        <f>'PP (40%)'!G50</f>
        <v>90092973.967999995</v>
      </c>
      <c r="L12" s="34">
        <f>+'PP (40%)'!J46</f>
        <v>3023944.13968</v>
      </c>
      <c r="M12" s="7"/>
    </row>
    <row r="13" spans="2:13" x14ac:dyDescent="0.25">
      <c r="B13" s="6"/>
      <c r="C13" s="67" t="s">
        <v>15</v>
      </c>
      <c r="D13" s="19">
        <v>0.95</v>
      </c>
      <c r="E13" s="24"/>
      <c r="F13" s="31" t="s">
        <v>5</v>
      </c>
      <c r="G13" s="32">
        <f t="shared" si="3"/>
        <v>29726069.440000001</v>
      </c>
      <c r="H13" s="32">
        <f t="shared" si="0"/>
        <v>28239765.967999998</v>
      </c>
      <c r="I13" s="27">
        <f t="shared" si="1"/>
        <v>11295906.3872</v>
      </c>
      <c r="J13" s="32">
        <f t="shared" si="2"/>
        <v>16943859.580799997</v>
      </c>
      <c r="K13" s="33">
        <f>'PP (40%)'!G59</f>
        <v>110167299.93599999</v>
      </c>
      <c r="L13" s="34">
        <f>+'PP (40%)'!J55</f>
        <v>3224687.3993600002</v>
      </c>
      <c r="M13" s="7"/>
    </row>
    <row r="14" spans="2:13" x14ac:dyDescent="0.25">
      <c r="B14" s="6"/>
      <c r="C14" s="67" t="s">
        <v>90</v>
      </c>
      <c r="D14" s="17">
        <f>D12*D13</f>
        <v>25517000</v>
      </c>
      <c r="E14" s="24"/>
      <c r="F14" s="10" t="s">
        <v>6</v>
      </c>
      <c r="G14" s="32">
        <f t="shared" si="3"/>
        <v>31271825.05088</v>
      </c>
      <c r="H14" s="32">
        <f t="shared" si="0"/>
        <v>29708233.798335999</v>
      </c>
      <c r="I14" s="27">
        <f t="shared" si="1"/>
        <v>11883293.5193344</v>
      </c>
      <c r="J14" s="32">
        <f t="shared" si="2"/>
        <v>17824940.279001597</v>
      </c>
      <c r="K14" s="33">
        <f>+'PP (40%)'!G68</f>
        <v>131710093.73433599</v>
      </c>
      <c r="L14" s="34">
        <f>+'PP (40%)'!J64</f>
        <v>3440115.3373433598</v>
      </c>
      <c r="M14" s="7"/>
    </row>
    <row r="15" spans="2:13" x14ac:dyDescent="0.25">
      <c r="B15" s="6"/>
      <c r="C15" s="67" t="s">
        <v>109</v>
      </c>
      <c r="D15" s="17">
        <f>(D12*D13)*40%</f>
        <v>10206800</v>
      </c>
      <c r="E15" s="79"/>
      <c r="F15" s="31" t="s">
        <v>7</v>
      </c>
      <c r="G15" s="32">
        <f t="shared" si="3"/>
        <v>31271825.05088</v>
      </c>
      <c r="H15" s="32">
        <f t="shared" si="0"/>
        <v>29708233.798335999</v>
      </c>
      <c r="I15" s="27">
        <f t="shared" si="1"/>
        <v>11883293.5193344</v>
      </c>
      <c r="J15" s="32">
        <f t="shared" si="2"/>
        <v>17824940.279001597</v>
      </c>
      <c r="K15" s="33">
        <f>+'PP (40%)'!G77</f>
        <v>153252887.53267199</v>
      </c>
      <c r="L15" s="34">
        <f>+'PP (40%)'!J73</f>
        <v>3655543.27532672</v>
      </c>
      <c r="M15" s="7"/>
    </row>
    <row r="16" spans="2:13" x14ac:dyDescent="0.25">
      <c r="B16" s="6"/>
      <c r="C16" s="67" t="s">
        <v>110</v>
      </c>
      <c r="D16" s="17">
        <f>(D13*D12)*60%</f>
        <v>15310200</v>
      </c>
      <c r="E16" s="23"/>
      <c r="F16" s="10" t="s">
        <v>8</v>
      </c>
      <c r="G16" s="32">
        <f>IF(OR(D11=$Q$74,D11=$Q$41),(G15*5.2%+G15),IF(D11=$Q$72,(G15*5.2%+G15),IF(D11=$Q$36,(G15*5.2%+G15),0)))</f>
        <v>0</v>
      </c>
      <c r="H16" s="32">
        <f t="shared" si="0"/>
        <v>0</v>
      </c>
      <c r="I16" s="27">
        <f>H16*40%</f>
        <v>0</v>
      </c>
      <c r="J16" s="32">
        <f t="shared" si="2"/>
        <v>0</v>
      </c>
      <c r="K16" s="33">
        <f>IF(G16&gt;1,('PP (40%)'!G86),0)</f>
        <v>0</v>
      </c>
      <c r="L16" s="34">
        <f>IF(G16&gt;1,('PP (40%)'!J82),0)</f>
        <v>0</v>
      </c>
      <c r="M16" s="7"/>
    </row>
    <row r="17" spans="2:21" ht="12.75" thickBot="1" x14ac:dyDescent="0.3">
      <c r="B17" s="6"/>
      <c r="C17" s="68" t="s">
        <v>111</v>
      </c>
      <c r="D17" s="20">
        <f>IF(OR(D13&lt;10%,D13&gt;95%),0,5)</f>
        <v>5</v>
      </c>
      <c r="F17" s="31" t="s">
        <v>92</v>
      </c>
      <c r="G17" s="32">
        <f>IF(OR(D11=$Q$74,D11=$Q$41),(G15*5.2%+G15),IF(D11=$Q$72,(G15*5.2%+G15),0))</f>
        <v>0</v>
      </c>
      <c r="H17" s="32">
        <f t="shared" si="0"/>
        <v>0</v>
      </c>
      <c r="I17" s="27">
        <f t="shared" ref="I17:I19" si="4">H17*40%</f>
        <v>0</v>
      </c>
      <c r="J17" s="32">
        <f t="shared" ref="J17:J19" si="5">H17*60%</f>
        <v>0</v>
      </c>
      <c r="K17" s="33">
        <f>IF(G17&gt;1,('PP (40%)'!G95),0)</f>
        <v>0</v>
      </c>
      <c r="L17" s="34">
        <f>IF(G17&gt;1,('PP (40%)'!J91),0)</f>
        <v>0</v>
      </c>
      <c r="M17" s="7"/>
      <c r="U17" s="24"/>
    </row>
    <row r="18" spans="2:21" x14ac:dyDescent="0.25">
      <c r="B18" s="6"/>
      <c r="C18" s="139" t="str">
        <f>IF(OR(D13&lt;10%,D13&gt;95%),"Recuerda que, se financia mínimo 10% y máximo el 95% del valor de la matrícula","")</f>
        <v/>
      </c>
      <c r="D18" s="139"/>
      <c r="F18" s="10" t="s">
        <v>93</v>
      </c>
      <c r="G18" s="32">
        <f>IF(D11=$Q$72,((G16*5.2%+G16)),0)</f>
        <v>0</v>
      </c>
      <c r="H18" s="32">
        <f t="shared" si="0"/>
        <v>0</v>
      </c>
      <c r="I18" s="27">
        <f t="shared" si="4"/>
        <v>0</v>
      </c>
      <c r="J18" s="32">
        <f t="shared" si="5"/>
        <v>0</v>
      </c>
      <c r="K18" s="33">
        <f>IF(G18&gt;1,('PP (40%)'!G104),0)</f>
        <v>0</v>
      </c>
      <c r="L18" s="34">
        <f>IF(G18&gt;1,('PP (40%)'!J100),0)</f>
        <v>0</v>
      </c>
      <c r="M18" s="7"/>
    </row>
    <row r="19" spans="2:21" s="26" customFormat="1" ht="12.75" thickBot="1" x14ac:dyDescent="0.3">
      <c r="B19" s="25"/>
      <c r="C19" s="140"/>
      <c r="D19" s="140"/>
      <c r="F19" s="82" t="s">
        <v>94</v>
      </c>
      <c r="G19" s="35">
        <f>IF(D11=$Q$72,((G16*5.2%+G16)),0)</f>
        <v>0</v>
      </c>
      <c r="H19" s="35">
        <f t="shared" si="0"/>
        <v>0</v>
      </c>
      <c r="I19" s="36">
        <f t="shared" si="4"/>
        <v>0</v>
      </c>
      <c r="J19" s="35">
        <f t="shared" si="5"/>
        <v>0</v>
      </c>
      <c r="K19" s="37">
        <f>IF(G19&gt;1,('PP (40%)'!G113),0)</f>
        <v>0</v>
      </c>
      <c r="L19" s="83">
        <f>IF(G19&gt;1,('PP (40%)'!J109),0)</f>
        <v>0</v>
      </c>
      <c r="M19" s="30"/>
    </row>
    <row r="20" spans="2:21" s="26" customFormat="1" x14ac:dyDescent="0.25">
      <c r="B20" s="25"/>
      <c r="C20" s="23"/>
      <c r="D20" s="23"/>
      <c r="F20" s="141" t="s">
        <v>116</v>
      </c>
      <c r="G20" s="141"/>
      <c r="H20" s="141"/>
      <c r="I20" s="141"/>
      <c r="J20" s="141"/>
      <c r="K20" s="141"/>
      <c r="L20" s="141"/>
      <c r="M20" s="30"/>
    </row>
    <row r="21" spans="2:21" ht="24" customHeight="1" x14ac:dyDescent="0.25">
      <c r="B21" s="6"/>
      <c r="F21" s="142"/>
      <c r="G21" s="142"/>
      <c r="H21" s="142"/>
      <c r="I21" s="142"/>
      <c r="J21" s="142"/>
      <c r="K21" s="142"/>
      <c r="L21" s="142"/>
      <c r="M21" s="7"/>
    </row>
    <row r="22" spans="2:21" ht="12.75" thickBot="1" x14ac:dyDescent="0.3">
      <c r="B22" s="6"/>
      <c r="F22" s="111"/>
      <c r="G22" s="111"/>
      <c r="H22" s="111"/>
      <c r="I22" s="111"/>
      <c r="J22" s="111"/>
      <c r="K22" s="111"/>
      <c r="L22" s="111"/>
      <c r="M22" s="7"/>
    </row>
    <row r="23" spans="2:21" ht="23.25" thickBot="1" x14ac:dyDescent="0.3">
      <c r="B23" s="6"/>
      <c r="C23" s="75" t="s">
        <v>112</v>
      </c>
      <c r="D23" s="123">
        <f>IF(OR(D11=$Q$74,D11=$Q$41),(K17),IF(D11=$Q$72,(K19),IF(D11=$Q$36,(K16),K15)))</f>
        <v>153252887.53267199</v>
      </c>
      <c r="E23" s="38"/>
      <c r="F23" s="38"/>
      <c r="M23" s="7"/>
    </row>
    <row r="24" spans="2:21" ht="12.75" thickBot="1" x14ac:dyDescent="0.3">
      <c r="B24" s="6"/>
      <c r="C24" s="73" t="s">
        <v>9</v>
      </c>
      <c r="D24" s="124">
        <v>0.01</v>
      </c>
      <c r="E24" s="38"/>
      <c r="F24" s="133" t="s">
        <v>113</v>
      </c>
      <c r="G24" s="134"/>
      <c r="H24" s="134"/>
      <c r="I24" s="134"/>
      <c r="J24" s="135"/>
      <c r="M24" s="7"/>
    </row>
    <row r="25" spans="2:21" ht="24.75" thickBot="1" x14ac:dyDescent="0.3">
      <c r="B25" s="6"/>
      <c r="C25" s="73" t="s">
        <v>16</v>
      </c>
      <c r="D25" s="125">
        <f>IF(OR(D11=$Q$74,D11=$Q$41),(5*2)*12,IF(D11=$Q$72,(6*2)*12,IF(D11=$Q$36,(4.5*2)*12,(4*2)*12)))</f>
        <v>96</v>
      </c>
      <c r="E25" s="80"/>
      <c r="F25" s="102" t="s">
        <v>107</v>
      </c>
      <c r="G25" s="103" t="s">
        <v>19</v>
      </c>
      <c r="H25" s="104" t="s">
        <v>20</v>
      </c>
      <c r="I25" s="103" t="s">
        <v>21</v>
      </c>
      <c r="J25" s="105" t="s">
        <v>22</v>
      </c>
      <c r="L25" s="40" t="s">
        <v>18</v>
      </c>
      <c r="M25" s="7"/>
    </row>
    <row r="26" spans="2:21" ht="13.5" thickBot="1" x14ac:dyDescent="0.3">
      <c r="B26" s="6"/>
      <c r="C26" s="74" t="s">
        <v>21</v>
      </c>
      <c r="D26" s="126">
        <f>PMT(D24,$D$25,-(D23))</f>
        <v>2490794.8791050809</v>
      </c>
      <c r="E26" s="79"/>
      <c r="F26" s="131" t="s">
        <v>115</v>
      </c>
      <c r="G26" s="132"/>
      <c r="H26" s="110">
        <f>D23*$D$10*6</f>
        <v>9195173.2519603185</v>
      </c>
      <c r="I26" s="110">
        <f>H26/6</f>
        <v>1532528.8753267198</v>
      </c>
      <c r="J26" s="109">
        <f>D23</f>
        <v>153252887.53267199</v>
      </c>
      <c r="L26" s="44"/>
      <c r="M26" s="7"/>
    </row>
    <row r="27" spans="2:21" ht="12.75" x14ac:dyDescent="0.25">
      <c r="B27" s="6"/>
      <c r="E27" s="79"/>
      <c r="F27" s="112"/>
      <c r="G27" s="113"/>
      <c r="H27" s="114"/>
      <c r="I27" s="115"/>
      <c r="J27" s="122">
        <f>J26</f>
        <v>153252887.53267199</v>
      </c>
      <c r="L27" s="44"/>
      <c r="M27" s="7"/>
    </row>
    <row r="28" spans="2:21" hidden="1" outlineLevel="1" x14ac:dyDescent="0.25">
      <c r="B28" s="6"/>
      <c r="E28" s="81"/>
      <c r="F28" s="6" t="s">
        <v>95</v>
      </c>
      <c r="G28" s="116">
        <f>IF(J26&gt;1,(I28-H28),"")</f>
        <v>958266.00377836102</v>
      </c>
      <c r="H28" s="106">
        <f>IF(J26&gt;1,IPMT($D$24,1,$D$25,-J26),"")</f>
        <v>1532528.8753267198</v>
      </c>
      <c r="I28" s="107">
        <f>IF(J26&gt;1,$D$26,"")</f>
        <v>2490794.8791050809</v>
      </c>
      <c r="J28" s="108">
        <f>IF(L28="",0,(J26-G28))</f>
        <v>152294621.52889362</v>
      </c>
      <c r="L28" s="44">
        <v>1</v>
      </c>
      <c r="M28" s="7"/>
    </row>
    <row r="29" spans="2:21" hidden="1" outlineLevel="1" x14ac:dyDescent="0.25">
      <c r="B29" s="6"/>
      <c r="F29" s="6"/>
      <c r="G29" s="117">
        <f t="shared" ref="G29:G92" si="6">IF(J28&gt;1,(I29-H29),"")</f>
        <v>967848.66381614469</v>
      </c>
      <c r="H29" s="46">
        <f t="shared" ref="H29:H60" si="7">IF(J28&gt;1,IPMT($D$24,1,$D$25,-J28),"")</f>
        <v>1522946.2152889362</v>
      </c>
      <c r="I29" s="47">
        <f t="shared" ref="I29:I60" si="8">IF(J28&gt;1,$D$26,"")</f>
        <v>2490794.8791050809</v>
      </c>
      <c r="J29" s="48">
        <f t="shared" ref="J29:J59" si="9">IF(L29="",0,(J28-G29))</f>
        <v>151326772.86507747</v>
      </c>
      <c r="L29" s="44">
        <f t="shared" ref="L29:L60" si="10">IF(J28&lt;1,"",L28+1)</f>
        <v>2</v>
      </c>
      <c r="M29" s="7"/>
    </row>
    <row r="30" spans="2:21" hidden="1" outlineLevel="1" x14ac:dyDescent="0.25">
      <c r="B30" s="6"/>
      <c r="F30" s="6"/>
      <c r="G30" s="117">
        <f t="shared" si="6"/>
        <v>977527.15045430628</v>
      </c>
      <c r="H30" s="46">
        <f t="shared" si="7"/>
        <v>1513267.7286507746</v>
      </c>
      <c r="I30" s="47">
        <f t="shared" si="8"/>
        <v>2490794.8791050809</v>
      </c>
      <c r="J30" s="48">
        <f t="shared" si="9"/>
        <v>150349245.71462315</v>
      </c>
      <c r="L30" s="44">
        <f t="shared" si="10"/>
        <v>3</v>
      </c>
      <c r="M30" s="7"/>
    </row>
    <row r="31" spans="2:21" hidden="1" outlineLevel="1" x14ac:dyDescent="0.25">
      <c r="B31" s="6"/>
      <c r="F31" s="6"/>
      <c r="G31" s="117">
        <f t="shared" si="6"/>
        <v>987302.4219588493</v>
      </c>
      <c r="H31" s="46">
        <f t="shared" si="7"/>
        <v>1503492.4571462316</v>
      </c>
      <c r="I31" s="47">
        <f t="shared" si="8"/>
        <v>2490794.8791050809</v>
      </c>
      <c r="J31" s="48">
        <f t="shared" si="9"/>
        <v>149361943.29266429</v>
      </c>
      <c r="L31" s="44">
        <f t="shared" si="10"/>
        <v>4</v>
      </c>
      <c r="M31" s="7"/>
      <c r="P31" s="11" t="s">
        <v>12</v>
      </c>
      <c r="Q31" s="49" t="s">
        <v>13</v>
      </c>
    </row>
    <row r="32" spans="2:21" hidden="1" outlineLevel="1" x14ac:dyDescent="0.25">
      <c r="B32" s="6"/>
      <c r="F32" s="6"/>
      <c r="G32" s="117">
        <f t="shared" si="6"/>
        <v>997175.44617843791</v>
      </c>
      <c r="H32" s="46">
        <f t="shared" si="7"/>
        <v>1493619.4329266429</v>
      </c>
      <c r="I32" s="47">
        <f t="shared" si="8"/>
        <v>2490794.8791050809</v>
      </c>
      <c r="J32" s="48">
        <f t="shared" si="9"/>
        <v>148364767.84648585</v>
      </c>
      <c r="L32" s="44">
        <f t="shared" si="10"/>
        <v>5</v>
      </c>
      <c r="M32" s="7"/>
    </row>
    <row r="33" spans="2:24" hidden="1" outlineLevel="1" x14ac:dyDescent="0.25">
      <c r="B33" s="6"/>
      <c r="F33" s="6"/>
      <c r="G33" s="117">
        <f t="shared" si="6"/>
        <v>1007147.2006402223</v>
      </c>
      <c r="H33" s="46">
        <f t="shared" si="7"/>
        <v>1483647.6784648586</v>
      </c>
      <c r="I33" s="47">
        <f t="shared" si="8"/>
        <v>2490794.8791050809</v>
      </c>
      <c r="J33" s="48">
        <f t="shared" si="9"/>
        <v>147357620.64584562</v>
      </c>
      <c r="L33" s="44">
        <f t="shared" si="10"/>
        <v>6</v>
      </c>
      <c r="M33" s="7"/>
      <c r="P33" s="2" t="s">
        <v>25</v>
      </c>
      <c r="Q33" s="2" t="s">
        <v>26</v>
      </c>
      <c r="R33" s="2" t="s">
        <v>88</v>
      </c>
    </row>
    <row r="34" spans="2:24" hidden="1" outlineLevel="1" x14ac:dyDescent="0.25">
      <c r="B34" s="6"/>
      <c r="F34" s="6"/>
      <c r="G34" s="117">
        <f t="shared" si="6"/>
        <v>1017218.6726466245</v>
      </c>
      <c r="H34" s="46">
        <f t="shared" si="7"/>
        <v>1473576.2064584563</v>
      </c>
      <c r="I34" s="47">
        <f t="shared" si="8"/>
        <v>2490794.8791050809</v>
      </c>
      <c r="J34" s="48">
        <f t="shared" si="9"/>
        <v>146340401.97319901</v>
      </c>
      <c r="L34" s="44">
        <f t="shared" si="10"/>
        <v>7</v>
      </c>
      <c r="M34" s="7"/>
      <c r="P34" s="2" t="s">
        <v>27</v>
      </c>
      <c r="Q34" s="2" t="s">
        <v>28</v>
      </c>
      <c r="R34" s="2">
        <v>8</v>
      </c>
      <c r="S34" s="2" t="s">
        <v>29</v>
      </c>
      <c r="T34" s="2" t="s">
        <v>30</v>
      </c>
    </row>
    <row r="35" spans="2:24" hidden="1" outlineLevel="1" x14ac:dyDescent="0.25">
      <c r="B35" s="6"/>
      <c r="F35" s="6"/>
      <c r="G35" s="117">
        <f t="shared" si="6"/>
        <v>1027390.8593730908</v>
      </c>
      <c r="H35" s="46">
        <f t="shared" si="7"/>
        <v>1463404.0197319901</v>
      </c>
      <c r="I35" s="47">
        <f t="shared" si="8"/>
        <v>2490794.8791050809</v>
      </c>
      <c r="J35" s="48">
        <f t="shared" si="9"/>
        <v>145313011.11382592</v>
      </c>
      <c r="L35" s="44">
        <f t="shared" si="10"/>
        <v>8</v>
      </c>
      <c r="M35" s="7"/>
      <c r="P35" s="2" t="s">
        <v>31</v>
      </c>
      <c r="Q35" s="2" t="s">
        <v>32</v>
      </c>
      <c r="R35" s="2">
        <v>8</v>
      </c>
      <c r="S35" s="24">
        <v>26860000</v>
      </c>
      <c r="T35" s="24">
        <v>38220000</v>
      </c>
    </row>
    <row r="36" spans="2:24" hidden="1" outlineLevel="1" x14ac:dyDescent="0.25">
      <c r="B36" s="6"/>
      <c r="F36" s="6"/>
      <c r="G36" s="117">
        <f t="shared" si="6"/>
        <v>1037664.7679668216</v>
      </c>
      <c r="H36" s="46">
        <f t="shared" si="7"/>
        <v>1453130.1111382593</v>
      </c>
      <c r="I36" s="47">
        <f t="shared" si="8"/>
        <v>2490794.8791050809</v>
      </c>
      <c r="J36" s="48">
        <f t="shared" si="9"/>
        <v>144275346.34585911</v>
      </c>
      <c r="L36" s="44">
        <f t="shared" si="10"/>
        <v>9</v>
      </c>
      <c r="M36" s="7"/>
      <c r="P36" s="2" t="s">
        <v>33</v>
      </c>
      <c r="Q36" s="2" t="s">
        <v>11</v>
      </c>
      <c r="R36" s="2">
        <v>8</v>
      </c>
      <c r="S36" s="2" t="s">
        <v>13</v>
      </c>
      <c r="T36" s="2" t="s">
        <v>34</v>
      </c>
      <c r="U36" s="2" t="s">
        <v>35</v>
      </c>
      <c r="V36" s="2" t="s">
        <v>36</v>
      </c>
      <c r="W36" s="2" t="s">
        <v>37</v>
      </c>
    </row>
    <row r="37" spans="2:24" hidden="1" outlineLevel="1" x14ac:dyDescent="0.25">
      <c r="B37" s="6"/>
      <c r="F37" s="6"/>
      <c r="G37" s="117">
        <f t="shared" si="6"/>
        <v>1048041.4156464897</v>
      </c>
      <c r="H37" s="46">
        <f t="shared" si="7"/>
        <v>1442753.4634585911</v>
      </c>
      <c r="I37" s="47">
        <f t="shared" si="8"/>
        <v>2490794.8791050809</v>
      </c>
      <c r="J37" s="48">
        <f t="shared" si="9"/>
        <v>143227304.93021262</v>
      </c>
      <c r="L37" s="44">
        <f t="shared" si="10"/>
        <v>10</v>
      </c>
      <c r="M37" s="7"/>
      <c r="P37" s="2" t="s">
        <v>33</v>
      </c>
      <c r="Q37" s="2" t="s">
        <v>38</v>
      </c>
      <c r="R37" s="2">
        <v>8</v>
      </c>
      <c r="S37" s="50">
        <v>1</v>
      </c>
      <c r="T37" s="50">
        <v>0.5</v>
      </c>
      <c r="U37" s="50">
        <v>0.25</v>
      </c>
      <c r="V37" s="50">
        <v>0.3</v>
      </c>
      <c r="W37" s="50">
        <v>0.1</v>
      </c>
      <c r="X37" s="50"/>
    </row>
    <row r="38" spans="2:24" hidden="1" outlineLevel="1" x14ac:dyDescent="0.25">
      <c r="B38" s="6"/>
      <c r="F38" s="6"/>
      <c r="G38" s="117">
        <f t="shared" si="6"/>
        <v>1058521.8298029546</v>
      </c>
      <c r="H38" s="46">
        <f t="shared" si="7"/>
        <v>1432273.0493021263</v>
      </c>
      <c r="I38" s="47">
        <f t="shared" si="8"/>
        <v>2490794.8791050809</v>
      </c>
      <c r="J38" s="48">
        <f t="shared" si="9"/>
        <v>142168783.10040966</v>
      </c>
      <c r="L38" s="44">
        <f t="shared" si="10"/>
        <v>11</v>
      </c>
      <c r="M38" s="7"/>
      <c r="P38" s="2" t="s">
        <v>39</v>
      </c>
      <c r="Q38" s="2" t="s">
        <v>40</v>
      </c>
      <c r="R38" s="2">
        <v>8</v>
      </c>
      <c r="S38" s="24">
        <f>$T$35*S37</f>
        <v>38220000</v>
      </c>
      <c r="T38" s="24">
        <f>$T$35*T37</f>
        <v>19110000</v>
      </c>
      <c r="U38" s="24">
        <f>$T$35*U37</f>
        <v>9555000</v>
      </c>
      <c r="V38" s="24">
        <f>$T$35*V37</f>
        <v>11466000</v>
      </c>
      <c r="W38" s="24">
        <f>$T$35*W37</f>
        <v>3822000</v>
      </c>
      <c r="X38" s="24"/>
    </row>
    <row r="39" spans="2:24" ht="12.75" collapsed="1" thickBot="1" x14ac:dyDescent="0.3">
      <c r="B39" s="6"/>
      <c r="F39" s="6" t="s">
        <v>95</v>
      </c>
      <c r="G39" s="118">
        <f t="shared" si="6"/>
        <v>1069107.0481009842</v>
      </c>
      <c r="H39" s="119">
        <f t="shared" si="7"/>
        <v>1421687.8310040967</v>
      </c>
      <c r="I39" s="120">
        <f t="shared" si="8"/>
        <v>2490794.8791050809</v>
      </c>
      <c r="J39" s="121">
        <f t="shared" si="9"/>
        <v>141099676.05230868</v>
      </c>
      <c r="L39" s="44">
        <f t="shared" si="10"/>
        <v>12</v>
      </c>
      <c r="M39" s="7"/>
      <c r="P39" s="2" t="s">
        <v>41</v>
      </c>
      <c r="Q39" s="2" t="s">
        <v>42</v>
      </c>
      <c r="R39" s="2">
        <v>8</v>
      </c>
      <c r="S39" s="24">
        <f>$S$35*S37</f>
        <v>26860000</v>
      </c>
      <c r="T39" s="24">
        <f>$S$35*T37</f>
        <v>13430000</v>
      </c>
      <c r="U39" s="24">
        <f>$S$35*U37</f>
        <v>6715000</v>
      </c>
      <c r="V39" s="24">
        <f>$S$35*V37</f>
        <v>8058000</v>
      </c>
      <c r="W39" s="24">
        <f>$S$35*W37</f>
        <v>2686000</v>
      </c>
      <c r="X39" s="24"/>
    </row>
    <row r="40" spans="2:24" hidden="1" outlineLevel="1" collapsed="1" x14ac:dyDescent="0.25">
      <c r="B40" s="6"/>
      <c r="F40" s="41" t="s">
        <v>96</v>
      </c>
      <c r="G40" s="42">
        <f t="shared" si="6"/>
        <v>1079798.118581994</v>
      </c>
      <c r="H40" s="42">
        <f t="shared" si="7"/>
        <v>1410996.7605230869</v>
      </c>
      <c r="I40" s="54">
        <f t="shared" si="8"/>
        <v>2490794.8791050809</v>
      </c>
      <c r="J40" s="55">
        <f t="shared" si="9"/>
        <v>140019877.9337267</v>
      </c>
      <c r="L40" s="44">
        <f t="shared" si="10"/>
        <v>13</v>
      </c>
      <c r="M40" s="7"/>
      <c r="P40" s="2" t="s">
        <v>31</v>
      </c>
      <c r="Q40" s="2" t="s">
        <v>43</v>
      </c>
      <c r="R40" s="2">
        <v>8</v>
      </c>
    </row>
    <row r="41" spans="2:24" hidden="1" outlineLevel="1" x14ac:dyDescent="0.25">
      <c r="B41" s="6"/>
      <c r="F41" s="45"/>
      <c r="G41" s="14">
        <f t="shared" si="6"/>
        <v>1090596.0997678139</v>
      </c>
      <c r="H41" s="14">
        <f t="shared" si="7"/>
        <v>1400198.7793372669</v>
      </c>
      <c r="I41" s="18">
        <f t="shared" si="8"/>
        <v>2490794.8791050809</v>
      </c>
      <c r="J41" s="16">
        <f t="shared" si="9"/>
        <v>138929281.83395889</v>
      </c>
      <c r="L41" s="44">
        <f t="shared" si="10"/>
        <v>14</v>
      </c>
      <c r="M41" s="7"/>
      <c r="P41" s="2" t="s">
        <v>31</v>
      </c>
      <c r="Q41" s="2" t="s">
        <v>44</v>
      </c>
      <c r="R41" s="2">
        <v>10</v>
      </c>
      <c r="S41" s="56">
        <v>1.0999999999999999E-2</v>
      </c>
      <c r="T41" s="57">
        <v>0</v>
      </c>
    </row>
    <row r="42" spans="2:24" hidden="1" outlineLevel="1" x14ac:dyDescent="0.25">
      <c r="B42" s="6"/>
      <c r="F42" s="45"/>
      <c r="G42" s="14">
        <f t="shared" si="6"/>
        <v>1101502.0607654918</v>
      </c>
      <c r="H42" s="14">
        <f t="shared" si="7"/>
        <v>1389292.8183395891</v>
      </c>
      <c r="I42" s="18">
        <f t="shared" si="8"/>
        <v>2490794.8791050809</v>
      </c>
      <c r="J42" s="16">
        <f t="shared" si="9"/>
        <v>137827779.77319339</v>
      </c>
      <c r="L42" s="44">
        <f t="shared" si="10"/>
        <v>15</v>
      </c>
      <c r="M42" s="7"/>
      <c r="P42" s="2" t="s">
        <v>33</v>
      </c>
      <c r="Q42" s="2" t="s">
        <v>45</v>
      </c>
      <c r="R42" s="2">
        <v>8</v>
      </c>
    </row>
    <row r="43" spans="2:24" hidden="1" outlineLevel="1" x14ac:dyDescent="0.25">
      <c r="B43" s="6"/>
      <c r="F43" s="45"/>
      <c r="G43" s="14">
        <f t="shared" si="6"/>
        <v>1112517.081373147</v>
      </c>
      <c r="H43" s="14">
        <f t="shared" si="7"/>
        <v>1378277.7977319339</v>
      </c>
      <c r="I43" s="18">
        <f t="shared" si="8"/>
        <v>2490794.8791050809</v>
      </c>
      <c r="J43" s="16">
        <f t="shared" si="9"/>
        <v>136715262.69182023</v>
      </c>
      <c r="L43" s="44">
        <f t="shared" si="10"/>
        <v>16</v>
      </c>
      <c r="M43" s="7"/>
      <c r="P43" s="2" t="s">
        <v>27</v>
      </c>
      <c r="Q43" s="2" t="s">
        <v>46</v>
      </c>
      <c r="R43" s="2">
        <v>8</v>
      </c>
      <c r="S43" s="2" t="str">
        <f>IF(D11=$Q$72,"Medicina","Otros programas")</f>
        <v>Otros programas</v>
      </c>
    </row>
    <row r="44" spans="2:24" hidden="1" outlineLevel="1" x14ac:dyDescent="0.25">
      <c r="B44" s="6"/>
      <c r="F44" s="45"/>
      <c r="G44" s="14">
        <f t="shared" si="6"/>
        <v>1123642.2521868786</v>
      </c>
      <c r="H44" s="14">
        <f t="shared" si="7"/>
        <v>1367152.6269182023</v>
      </c>
      <c r="I44" s="18">
        <f t="shared" si="8"/>
        <v>2490794.8791050809</v>
      </c>
      <c r="J44" s="16">
        <f t="shared" si="9"/>
        <v>135591620.43963337</v>
      </c>
      <c r="L44" s="44">
        <f t="shared" si="10"/>
        <v>17</v>
      </c>
      <c r="M44" s="7"/>
      <c r="P44" s="2" t="s">
        <v>47</v>
      </c>
      <c r="Q44" s="2" t="s">
        <v>48</v>
      </c>
      <c r="R44" s="2">
        <v>8</v>
      </c>
    </row>
    <row r="45" spans="2:24" hidden="1" outlineLevel="1" x14ac:dyDescent="0.25">
      <c r="B45" s="6"/>
      <c r="F45" s="45"/>
      <c r="G45" s="14">
        <f t="shared" si="6"/>
        <v>1134878.6747087471</v>
      </c>
      <c r="H45" s="14">
        <f t="shared" si="7"/>
        <v>1355916.2043963338</v>
      </c>
      <c r="I45" s="18">
        <f t="shared" si="8"/>
        <v>2490794.8791050809</v>
      </c>
      <c r="J45" s="16">
        <f t="shared" si="9"/>
        <v>134456741.76492462</v>
      </c>
      <c r="L45" s="44">
        <f t="shared" si="10"/>
        <v>18</v>
      </c>
      <c r="M45" s="7"/>
      <c r="P45" s="2" t="s">
        <v>31</v>
      </c>
      <c r="Q45" s="2" t="s">
        <v>49</v>
      </c>
      <c r="R45" s="2">
        <v>8</v>
      </c>
    </row>
    <row r="46" spans="2:24" hidden="1" outlineLevel="1" x14ac:dyDescent="0.25">
      <c r="B46" s="6"/>
      <c r="F46" s="45"/>
      <c r="G46" s="14">
        <f t="shared" si="6"/>
        <v>1146227.4614558346</v>
      </c>
      <c r="H46" s="14">
        <f t="shared" si="7"/>
        <v>1344567.4176492463</v>
      </c>
      <c r="I46" s="18">
        <f t="shared" si="8"/>
        <v>2490794.8791050809</v>
      </c>
      <c r="J46" s="16">
        <f t="shared" si="9"/>
        <v>133310514.30346878</v>
      </c>
      <c r="L46" s="44">
        <f t="shared" si="10"/>
        <v>19</v>
      </c>
      <c r="M46" s="7"/>
      <c r="P46" s="2" t="s">
        <v>31</v>
      </c>
      <c r="Q46" s="2" t="s">
        <v>50</v>
      </c>
      <c r="R46" s="2">
        <v>8</v>
      </c>
    </row>
    <row r="47" spans="2:24" hidden="1" outlineLevel="1" x14ac:dyDescent="0.25">
      <c r="B47" s="6"/>
      <c r="F47" s="45"/>
      <c r="G47" s="14">
        <f t="shared" si="6"/>
        <v>1157689.7360703929</v>
      </c>
      <c r="H47" s="14">
        <f t="shared" si="7"/>
        <v>1333105.143034688</v>
      </c>
      <c r="I47" s="18">
        <f t="shared" si="8"/>
        <v>2490794.8791050809</v>
      </c>
      <c r="J47" s="16">
        <f t="shared" si="9"/>
        <v>132152824.56739838</v>
      </c>
      <c r="L47" s="44">
        <f t="shared" si="10"/>
        <v>20</v>
      </c>
      <c r="M47" s="7"/>
      <c r="P47" s="2" t="s">
        <v>39</v>
      </c>
      <c r="Q47" s="2" t="s">
        <v>51</v>
      </c>
      <c r="R47" s="2">
        <v>8</v>
      </c>
    </row>
    <row r="48" spans="2:24" hidden="1" outlineLevel="1" x14ac:dyDescent="0.25">
      <c r="B48" s="6"/>
      <c r="F48" s="45"/>
      <c r="G48" s="14">
        <f t="shared" si="6"/>
        <v>1169266.633431097</v>
      </c>
      <c r="H48" s="14">
        <f t="shared" si="7"/>
        <v>1321528.2456739838</v>
      </c>
      <c r="I48" s="18">
        <f t="shared" si="8"/>
        <v>2490794.8791050809</v>
      </c>
      <c r="J48" s="16">
        <f t="shared" si="9"/>
        <v>130983557.93396729</v>
      </c>
      <c r="L48" s="44">
        <f t="shared" si="10"/>
        <v>21</v>
      </c>
      <c r="M48" s="7"/>
      <c r="P48" s="2" t="s">
        <v>39</v>
      </c>
      <c r="Q48" s="2" t="s">
        <v>52</v>
      </c>
      <c r="R48" s="2">
        <v>8</v>
      </c>
    </row>
    <row r="49" spans="2:18" hidden="1" outlineLevel="1" x14ac:dyDescent="0.25">
      <c r="B49" s="6"/>
      <c r="F49" s="45"/>
      <c r="G49" s="14">
        <f t="shared" si="6"/>
        <v>1180959.2997654078</v>
      </c>
      <c r="H49" s="14">
        <f t="shared" si="7"/>
        <v>1309835.579339673</v>
      </c>
      <c r="I49" s="18">
        <f t="shared" si="8"/>
        <v>2490794.8791050809</v>
      </c>
      <c r="J49" s="16">
        <f t="shared" si="9"/>
        <v>129802598.63420188</v>
      </c>
      <c r="L49" s="44">
        <f t="shared" si="10"/>
        <v>22</v>
      </c>
      <c r="M49" s="7"/>
      <c r="P49" s="2" t="s">
        <v>31</v>
      </c>
      <c r="Q49" s="2" t="s">
        <v>53</v>
      </c>
      <c r="R49" s="2">
        <v>8</v>
      </c>
    </row>
    <row r="50" spans="2:18" ht="12.75" hidden="1" outlineLevel="1" thickBot="1" x14ac:dyDescent="0.3">
      <c r="B50" s="6"/>
      <c r="F50" s="45"/>
      <c r="G50" s="14">
        <f t="shared" si="6"/>
        <v>1192768.8927630619</v>
      </c>
      <c r="H50" s="14">
        <f t="shared" si="7"/>
        <v>1298025.9863420189</v>
      </c>
      <c r="I50" s="18">
        <f t="shared" si="8"/>
        <v>2490794.8791050809</v>
      </c>
      <c r="J50" s="16">
        <f t="shared" si="9"/>
        <v>128609829.74143882</v>
      </c>
      <c r="L50" s="44">
        <f t="shared" si="10"/>
        <v>23</v>
      </c>
      <c r="M50" s="7"/>
      <c r="P50" s="2" t="s">
        <v>33</v>
      </c>
      <c r="Q50" s="2" t="s">
        <v>54</v>
      </c>
      <c r="R50" s="2">
        <v>8</v>
      </c>
    </row>
    <row r="51" spans="2:18" ht="12.75" collapsed="1" thickBot="1" x14ac:dyDescent="0.3">
      <c r="B51" s="6"/>
      <c r="F51" s="41" t="s">
        <v>96</v>
      </c>
      <c r="G51" s="58">
        <f t="shared" si="6"/>
        <v>1204696.5816906926</v>
      </c>
      <c r="H51" s="58">
        <f t="shared" si="7"/>
        <v>1286098.2974143883</v>
      </c>
      <c r="I51" s="59">
        <f t="shared" si="8"/>
        <v>2490794.8791050809</v>
      </c>
      <c r="J51" s="60">
        <f t="shared" si="9"/>
        <v>127405133.15974812</v>
      </c>
      <c r="L51" s="44">
        <f t="shared" si="10"/>
        <v>24</v>
      </c>
      <c r="M51" s="7"/>
      <c r="P51" s="2" t="s">
        <v>41</v>
      </c>
      <c r="Q51" s="2" t="s">
        <v>55</v>
      </c>
      <c r="R51" s="2">
        <v>8</v>
      </c>
    </row>
    <row r="52" spans="2:18" hidden="1" outlineLevel="1" collapsed="1" x14ac:dyDescent="0.25">
      <c r="B52" s="6"/>
      <c r="F52" s="41" t="s">
        <v>97</v>
      </c>
      <c r="G52" s="46">
        <f t="shared" si="6"/>
        <v>1216743.5475075997</v>
      </c>
      <c r="H52" s="46">
        <f t="shared" si="7"/>
        <v>1274051.3315974812</v>
      </c>
      <c r="I52" s="47">
        <f t="shared" si="8"/>
        <v>2490794.8791050809</v>
      </c>
      <c r="J52" s="48">
        <f t="shared" si="9"/>
        <v>126188389.61224052</v>
      </c>
      <c r="L52" s="44">
        <f t="shared" si="10"/>
        <v>25</v>
      </c>
      <c r="M52" s="7"/>
      <c r="P52" s="2" t="s">
        <v>41</v>
      </c>
      <c r="Q52" s="2" t="s">
        <v>56</v>
      </c>
      <c r="R52" s="2">
        <v>8</v>
      </c>
    </row>
    <row r="53" spans="2:18" hidden="1" outlineLevel="1" x14ac:dyDescent="0.25">
      <c r="B53" s="6"/>
      <c r="F53" s="45"/>
      <c r="G53" s="46">
        <f t="shared" si="6"/>
        <v>1228910.9829826755</v>
      </c>
      <c r="H53" s="46">
        <f t="shared" si="7"/>
        <v>1261883.8961224053</v>
      </c>
      <c r="I53" s="47">
        <f t="shared" si="8"/>
        <v>2490794.8791050809</v>
      </c>
      <c r="J53" s="48">
        <f t="shared" si="9"/>
        <v>124959478.62925784</v>
      </c>
      <c r="L53" s="44">
        <f t="shared" si="10"/>
        <v>26</v>
      </c>
      <c r="M53" s="7"/>
      <c r="P53" s="2" t="s">
        <v>41</v>
      </c>
      <c r="Q53" s="2" t="s">
        <v>57</v>
      </c>
      <c r="R53" s="2">
        <v>8</v>
      </c>
    </row>
    <row r="54" spans="2:18" hidden="1" outlineLevel="1" x14ac:dyDescent="0.25">
      <c r="B54" s="6"/>
      <c r="F54" s="45"/>
      <c r="G54" s="46">
        <f t="shared" si="6"/>
        <v>1241200.0928125023</v>
      </c>
      <c r="H54" s="46">
        <f t="shared" si="7"/>
        <v>1249594.7862925786</v>
      </c>
      <c r="I54" s="47">
        <f t="shared" si="8"/>
        <v>2490794.8791050809</v>
      </c>
      <c r="J54" s="48">
        <f t="shared" si="9"/>
        <v>123718278.53644533</v>
      </c>
      <c r="L54" s="44">
        <f t="shared" si="10"/>
        <v>27</v>
      </c>
      <c r="M54" s="7"/>
      <c r="P54" s="2" t="s">
        <v>41</v>
      </c>
      <c r="Q54" s="2" t="s">
        <v>58</v>
      </c>
      <c r="R54" s="2">
        <v>8</v>
      </c>
    </row>
    <row r="55" spans="2:18" hidden="1" outlineLevel="1" x14ac:dyDescent="0.25">
      <c r="B55" s="6"/>
      <c r="F55" s="45"/>
      <c r="G55" s="46">
        <f t="shared" si="6"/>
        <v>1253612.0937406274</v>
      </c>
      <c r="H55" s="46">
        <f t="shared" si="7"/>
        <v>1237182.7853644534</v>
      </c>
      <c r="I55" s="47">
        <f t="shared" si="8"/>
        <v>2490794.8791050809</v>
      </c>
      <c r="J55" s="48">
        <f t="shared" si="9"/>
        <v>122464666.44270471</v>
      </c>
      <c r="L55" s="44">
        <f t="shared" si="10"/>
        <v>28</v>
      </c>
      <c r="M55" s="7"/>
      <c r="P55" s="2" t="s">
        <v>41</v>
      </c>
      <c r="Q55" s="2" t="s">
        <v>59</v>
      </c>
      <c r="R55" s="2">
        <v>8</v>
      </c>
    </row>
    <row r="56" spans="2:18" hidden="1" outlineLevel="1" x14ac:dyDescent="0.25">
      <c r="B56" s="6"/>
      <c r="F56" s="45"/>
      <c r="G56" s="46">
        <f t="shared" si="6"/>
        <v>1266148.2146780337</v>
      </c>
      <c r="H56" s="46">
        <f t="shared" si="7"/>
        <v>1224646.6644270471</v>
      </c>
      <c r="I56" s="47">
        <f t="shared" si="8"/>
        <v>2490794.8791050809</v>
      </c>
      <c r="J56" s="48">
        <f t="shared" si="9"/>
        <v>121198518.22802667</v>
      </c>
      <c r="L56" s="44">
        <f t="shared" si="10"/>
        <v>29</v>
      </c>
      <c r="M56" s="7"/>
      <c r="P56" s="2" t="s">
        <v>41</v>
      </c>
      <c r="Q56" s="2" t="s">
        <v>60</v>
      </c>
      <c r="R56" s="2">
        <v>8</v>
      </c>
    </row>
    <row r="57" spans="2:18" hidden="1" outlineLevel="1" x14ac:dyDescent="0.25">
      <c r="B57" s="6"/>
      <c r="F57" s="45"/>
      <c r="G57" s="46">
        <f t="shared" si="6"/>
        <v>1278809.6968248142</v>
      </c>
      <c r="H57" s="46">
        <f t="shared" si="7"/>
        <v>1211985.1822802667</v>
      </c>
      <c r="I57" s="47">
        <f t="shared" si="8"/>
        <v>2490794.8791050809</v>
      </c>
      <c r="J57" s="48">
        <f t="shared" si="9"/>
        <v>119919708.53120185</v>
      </c>
      <c r="L57" s="44">
        <f t="shared" si="10"/>
        <v>30</v>
      </c>
      <c r="M57" s="7"/>
      <c r="P57" s="2" t="s">
        <v>41</v>
      </c>
      <c r="Q57" s="2" t="s">
        <v>61</v>
      </c>
      <c r="R57" s="2">
        <v>8</v>
      </c>
    </row>
    <row r="58" spans="2:18" hidden="1" outlineLevel="1" x14ac:dyDescent="0.25">
      <c r="B58" s="6"/>
      <c r="F58" s="45"/>
      <c r="G58" s="46">
        <f t="shared" si="6"/>
        <v>1291597.7937930622</v>
      </c>
      <c r="H58" s="46">
        <f t="shared" si="7"/>
        <v>1199197.0853120186</v>
      </c>
      <c r="I58" s="47">
        <f t="shared" si="8"/>
        <v>2490794.8791050809</v>
      </c>
      <c r="J58" s="48">
        <f t="shared" si="9"/>
        <v>118628110.73740879</v>
      </c>
      <c r="L58" s="44">
        <f t="shared" si="10"/>
        <v>31</v>
      </c>
      <c r="M58" s="7"/>
      <c r="P58" s="2" t="s">
        <v>41</v>
      </c>
      <c r="Q58" s="2" t="s">
        <v>62</v>
      </c>
      <c r="R58" s="2">
        <v>8</v>
      </c>
    </row>
    <row r="59" spans="2:18" hidden="1" outlineLevel="1" x14ac:dyDescent="0.25">
      <c r="B59" s="6"/>
      <c r="F59" s="45"/>
      <c r="G59" s="46">
        <f t="shared" si="6"/>
        <v>1304513.7717309929</v>
      </c>
      <c r="H59" s="46">
        <f t="shared" si="7"/>
        <v>1186281.1073740879</v>
      </c>
      <c r="I59" s="47">
        <f t="shared" si="8"/>
        <v>2490794.8791050809</v>
      </c>
      <c r="J59" s="48">
        <f t="shared" si="9"/>
        <v>117323596.9656778</v>
      </c>
      <c r="L59" s="44">
        <f t="shared" si="10"/>
        <v>32</v>
      </c>
      <c r="M59" s="7"/>
      <c r="P59" s="2" t="s">
        <v>41</v>
      </c>
      <c r="Q59" s="2" t="s">
        <v>63</v>
      </c>
      <c r="R59" s="2">
        <v>8</v>
      </c>
    </row>
    <row r="60" spans="2:18" hidden="1" outlineLevel="1" x14ac:dyDescent="0.25">
      <c r="B60" s="6"/>
      <c r="F60" s="45"/>
      <c r="G60" s="46">
        <f t="shared" si="6"/>
        <v>1317558.9094483028</v>
      </c>
      <c r="H60" s="46">
        <f t="shared" si="7"/>
        <v>1173235.969656778</v>
      </c>
      <c r="I60" s="47">
        <f t="shared" si="8"/>
        <v>2490794.8791050809</v>
      </c>
      <c r="J60" s="48">
        <f t="shared" ref="J60:J91" si="11">IF(L60="",0,(J59-G60))</f>
        <v>116006038.0562295</v>
      </c>
      <c r="L60" s="44">
        <f t="shared" si="10"/>
        <v>33</v>
      </c>
      <c r="M60" s="7"/>
      <c r="P60" s="2" t="s">
        <v>31</v>
      </c>
      <c r="Q60" s="2" t="s">
        <v>64</v>
      </c>
      <c r="R60" s="2">
        <v>8</v>
      </c>
    </row>
    <row r="61" spans="2:18" hidden="1" outlineLevel="1" x14ac:dyDescent="0.25">
      <c r="B61" s="6"/>
      <c r="F61" s="45"/>
      <c r="G61" s="46">
        <f t="shared" si="6"/>
        <v>1330734.4985427859</v>
      </c>
      <c r="H61" s="46">
        <f t="shared" ref="H61:H92" si="12">IF(J60&gt;1,IPMT($D$24,1,$D$25,-J60),"")</f>
        <v>1160060.380562295</v>
      </c>
      <c r="I61" s="47">
        <f t="shared" ref="I61:I92" si="13">IF(J60&gt;1,$D$26,"")</f>
        <v>2490794.8791050809</v>
      </c>
      <c r="J61" s="48">
        <f t="shared" si="11"/>
        <v>114675303.55768672</v>
      </c>
      <c r="L61" s="44">
        <f t="shared" ref="L61:L92" si="14">IF(J60&lt;1,"",L60+1)</f>
        <v>34</v>
      </c>
      <c r="M61" s="7"/>
      <c r="P61" s="2" t="s">
        <v>31</v>
      </c>
      <c r="Q61" s="2" t="s">
        <v>65</v>
      </c>
      <c r="R61" s="2">
        <v>8</v>
      </c>
    </row>
    <row r="62" spans="2:18" ht="12.75" hidden="1" outlineLevel="1" thickBot="1" x14ac:dyDescent="0.3">
      <c r="B62" s="6"/>
      <c r="F62" s="45"/>
      <c r="G62" s="46">
        <f t="shared" si="6"/>
        <v>1344041.8435282137</v>
      </c>
      <c r="H62" s="46">
        <f t="shared" si="12"/>
        <v>1146753.0355768672</v>
      </c>
      <c r="I62" s="47">
        <f t="shared" si="13"/>
        <v>2490794.8791050809</v>
      </c>
      <c r="J62" s="48">
        <f t="shared" si="11"/>
        <v>113331261.71415851</v>
      </c>
      <c r="L62" s="44">
        <f t="shared" si="14"/>
        <v>35</v>
      </c>
      <c r="M62" s="7"/>
      <c r="P62" s="2" t="s">
        <v>31</v>
      </c>
      <c r="Q62" s="2" t="s">
        <v>66</v>
      </c>
      <c r="R62" s="2">
        <v>8</v>
      </c>
    </row>
    <row r="63" spans="2:18" ht="12.75" collapsed="1" thickBot="1" x14ac:dyDescent="0.3">
      <c r="B63" s="6"/>
      <c r="F63" s="41" t="s">
        <v>97</v>
      </c>
      <c r="G63" s="51">
        <f t="shared" si="6"/>
        <v>1357482.2619634955</v>
      </c>
      <c r="H63" s="51">
        <f t="shared" si="12"/>
        <v>1133312.6171415853</v>
      </c>
      <c r="I63" s="52">
        <f t="shared" si="13"/>
        <v>2490794.8791050809</v>
      </c>
      <c r="J63" s="53">
        <f t="shared" si="11"/>
        <v>111973779.452195</v>
      </c>
      <c r="L63" s="44">
        <f t="shared" si="14"/>
        <v>36</v>
      </c>
      <c r="M63" s="7"/>
      <c r="P63" s="2" t="s">
        <v>31</v>
      </c>
      <c r="Q63" s="2" t="s">
        <v>67</v>
      </c>
      <c r="R63" s="2">
        <v>8</v>
      </c>
    </row>
    <row r="64" spans="2:18" hidden="1" outlineLevel="1" collapsed="1" x14ac:dyDescent="0.25">
      <c r="B64" s="6"/>
      <c r="F64" s="41" t="s">
        <v>98</v>
      </c>
      <c r="G64" s="42">
        <f t="shared" si="6"/>
        <v>1371057.0845831309</v>
      </c>
      <c r="H64" s="42">
        <f t="shared" si="12"/>
        <v>1119737.79452195</v>
      </c>
      <c r="I64" s="54">
        <f t="shared" si="13"/>
        <v>2490794.8791050809</v>
      </c>
      <c r="J64" s="55">
        <f t="shared" si="11"/>
        <v>110602722.36761187</v>
      </c>
      <c r="L64" s="44">
        <f t="shared" si="14"/>
        <v>37</v>
      </c>
      <c r="M64" s="7"/>
      <c r="P64" s="2" t="s">
        <v>31</v>
      </c>
      <c r="Q64" s="2" t="s">
        <v>68</v>
      </c>
      <c r="R64" s="2">
        <v>8</v>
      </c>
    </row>
    <row r="65" spans="2:18" hidden="1" outlineLevel="1" x14ac:dyDescent="0.25">
      <c r="B65" s="6"/>
      <c r="F65" s="45"/>
      <c r="G65" s="14">
        <f t="shared" si="6"/>
        <v>1384767.6554289621</v>
      </c>
      <c r="H65" s="14">
        <f t="shared" si="12"/>
        <v>1106027.2236761188</v>
      </c>
      <c r="I65" s="18">
        <f t="shared" si="13"/>
        <v>2490794.8791050809</v>
      </c>
      <c r="J65" s="16">
        <f t="shared" si="11"/>
        <v>109217954.71218291</v>
      </c>
      <c r="L65" s="44">
        <f t="shared" si="14"/>
        <v>38</v>
      </c>
      <c r="M65" s="7"/>
      <c r="P65" s="2" t="s">
        <v>31</v>
      </c>
      <c r="Q65" s="2" t="s">
        <v>69</v>
      </c>
      <c r="R65" s="2">
        <v>8</v>
      </c>
    </row>
    <row r="66" spans="2:18" hidden="1" outlineLevel="1" x14ac:dyDescent="0.25">
      <c r="B66" s="6"/>
      <c r="F66" s="45"/>
      <c r="G66" s="14">
        <f t="shared" si="6"/>
        <v>1398615.3319832517</v>
      </c>
      <c r="H66" s="14">
        <f t="shared" si="12"/>
        <v>1092179.5471218291</v>
      </c>
      <c r="I66" s="18">
        <f t="shared" si="13"/>
        <v>2490794.8791050809</v>
      </c>
      <c r="J66" s="16">
        <f t="shared" si="11"/>
        <v>107819339.38019966</v>
      </c>
      <c r="L66" s="44">
        <f t="shared" si="14"/>
        <v>39</v>
      </c>
      <c r="M66" s="7"/>
      <c r="P66" s="2" t="s">
        <v>31</v>
      </c>
      <c r="Q66" s="2" t="s">
        <v>70</v>
      </c>
      <c r="R66" s="2">
        <v>8</v>
      </c>
    </row>
    <row r="67" spans="2:18" hidden="1" outlineLevel="1" x14ac:dyDescent="0.25">
      <c r="B67" s="6"/>
      <c r="F67" s="45"/>
      <c r="G67" s="14">
        <f t="shared" si="6"/>
        <v>1412601.4853030844</v>
      </c>
      <c r="H67" s="14">
        <f t="shared" si="12"/>
        <v>1078193.3938019965</v>
      </c>
      <c r="I67" s="18">
        <f t="shared" si="13"/>
        <v>2490794.8791050809</v>
      </c>
      <c r="J67" s="16">
        <f t="shared" si="11"/>
        <v>106406737.89489657</v>
      </c>
      <c r="L67" s="44">
        <f t="shared" si="14"/>
        <v>40</v>
      </c>
      <c r="M67" s="7"/>
      <c r="P67" s="2" t="s">
        <v>31</v>
      </c>
      <c r="Q67" s="2" t="s">
        <v>71</v>
      </c>
      <c r="R67" s="2">
        <v>8</v>
      </c>
    </row>
    <row r="68" spans="2:18" hidden="1" outlineLevel="1" x14ac:dyDescent="0.25">
      <c r="B68" s="6"/>
      <c r="F68" s="45"/>
      <c r="G68" s="14">
        <f t="shared" si="6"/>
        <v>1426727.5001561153</v>
      </c>
      <c r="H68" s="14">
        <f t="shared" si="12"/>
        <v>1064067.3789489656</v>
      </c>
      <c r="I68" s="18">
        <f t="shared" si="13"/>
        <v>2490794.8791050809</v>
      </c>
      <c r="J68" s="16">
        <f t="shared" si="11"/>
        <v>104980010.39474045</v>
      </c>
      <c r="L68" s="44">
        <f t="shared" si="14"/>
        <v>41</v>
      </c>
      <c r="M68" s="7"/>
      <c r="P68" s="2" t="s">
        <v>31</v>
      </c>
      <c r="Q68" s="2" t="s">
        <v>72</v>
      </c>
      <c r="R68" s="2">
        <v>8</v>
      </c>
    </row>
    <row r="69" spans="2:18" hidden="1" outlineLevel="1" x14ac:dyDescent="0.25">
      <c r="B69" s="6"/>
      <c r="F69" s="45"/>
      <c r="G69" s="14">
        <f t="shared" si="6"/>
        <v>1440994.7751576763</v>
      </c>
      <c r="H69" s="14">
        <f t="shared" si="12"/>
        <v>1049800.1039474045</v>
      </c>
      <c r="I69" s="18">
        <f t="shared" si="13"/>
        <v>2490794.8791050809</v>
      </c>
      <c r="J69" s="16">
        <f t="shared" si="11"/>
        <v>103539015.61958277</v>
      </c>
      <c r="L69" s="44">
        <f t="shared" si="14"/>
        <v>42</v>
      </c>
      <c r="M69" s="7"/>
      <c r="P69" s="2" t="s">
        <v>31</v>
      </c>
      <c r="Q69" s="2" t="s">
        <v>73</v>
      </c>
      <c r="R69" s="2">
        <v>8</v>
      </c>
    </row>
    <row r="70" spans="2:18" hidden="1" outlineLevel="1" x14ac:dyDescent="0.25">
      <c r="B70" s="6"/>
      <c r="F70" s="45"/>
      <c r="G70" s="14">
        <f t="shared" si="6"/>
        <v>1455404.7229092531</v>
      </c>
      <c r="H70" s="14">
        <f t="shared" si="12"/>
        <v>1035390.1561958278</v>
      </c>
      <c r="I70" s="18">
        <f t="shared" si="13"/>
        <v>2490794.8791050809</v>
      </c>
      <c r="J70" s="16">
        <f t="shared" si="11"/>
        <v>102083610.89667352</v>
      </c>
      <c r="L70" s="44">
        <f t="shared" si="14"/>
        <v>43</v>
      </c>
      <c r="M70" s="7"/>
      <c r="P70" s="2" t="s">
        <v>33</v>
      </c>
      <c r="Q70" s="2" t="s">
        <v>74</v>
      </c>
      <c r="R70" s="2">
        <v>8</v>
      </c>
    </row>
    <row r="71" spans="2:18" hidden="1" outlineLevel="1" x14ac:dyDescent="0.25">
      <c r="B71" s="6"/>
      <c r="F71" s="45"/>
      <c r="G71" s="14">
        <f t="shared" si="6"/>
        <v>1469958.7701383457</v>
      </c>
      <c r="H71" s="14">
        <f t="shared" si="12"/>
        <v>1020836.1089667352</v>
      </c>
      <c r="I71" s="18">
        <f t="shared" si="13"/>
        <v>2490794.8791050809</v>
      </c>
      <c r="J71" s="16">
        <f t="shared" si="11"/>
        <v>100613652.12653518</v>
      </c>
      <c r="L71" s="44">
        <f t="shared" si="14"/>
        <v>44</v>
      </c>
      <c r="M71" s="7"/>
      <c r="P71" s="2" t="s">
        <v>39</v>
      </c>
      <c r="Q71" s="2" t="s">
        <v>75</v>
      </c>
      <c r="R71" s="2">
        <v>8</v>
      </c>
    </row>
    <row r="72" spans="2:18" hidden="1" outlineLevel="1" x14ac:dyDescent="0.25">
      <c r="B72" s="6"/>
      <c r="F72" s="45"/>
      <c r="G72" s="14">
        <f t="shared" si="6"/>
        <v>1484658.3578397292</v>
      </c>
      <c r="H72" s="14">
        <f t="shared" si="12"/>
        <v>1006136.5212653518</v>
      </c>
      <c r="I72" s="18">
        <f t="shared" si="13"/>
        <v>2490794.8791050809</v>
      </c>
      <c r="J72" s="16">
        <f t="shared" si="11"/>
        <v>99128993.768695444</v>
      </c>
      <c r="L72" s="44">
        <f t="shared" si="14"/>
        <v>45</v>
      </c>
      <c r="M72" s="7"/>
      <c r="P72" s="2" t="s">
        <v>39</v>
      </c>
      <c r="Q72" s="2" t="s">
        <v>30</v>
      </c>
      <c r="R72" s="2">
        <v>12</v>
      </c>
    </row>
    <row r="73" spans="2:18" hidden="1" outlineLevel="1" x14ac:dyDescent="0.25">
      <c r="B73" s="6"/>
      <c r="F73" s="45"/>
      <c r="G73" s="14">
        <f t="shared" si="6"/>
        <v>1499504.9414181262</v>
      </c>
      <c r="H73" s="14">
        <f t="shared" si="12"/>
        <v>991289.93768695451</v>
      </c>
      <c r="I73" s="18">
        <f t="shared" si="13"/>
        <v>2490794.8791050809</v>
      </c>
      <c r="J73" s="16">
        <f t="shared" si="11"/>
        <v>97629488.827277318</v>
      </c>
      <c r="L73" s="44">
        <f t="shared" si="14"/>
        <v>46</v>
      </c>
      <c r="M73" s="7"/>
      <c r="P73" s="2" t="s">
        <v>39</v>
      </c>
      <c r="Q73" s="2" t="s">
        <v>76</v>
      </c>
      <c r="R73" s="2">
        <v>8</v>
      </c>
    </row>
    <row r="74" spans="2:18" ht="12.75" hidden="1" outlineLevel="1" thickBot="1" x14ac:dyDescent="0.3">
      <c r="B74" s="6"/>
      <c r="F74" s="45"/>
      <c r="G74" s="14">
        <f t="shared" si="6"/>
        <v>1514499.9908323074</v>
      </c>
      <c r="H74" s="14">
        <f t="shared" si="12"/>
        <v>976294.88827277336</v>
      </c>
      <c r="I74" s="18">
        <f t="shared" si="13"/>
        <v>2490794.8791050809</v>
      </c>
      <c r="J74" s="16">
        <f t="shared" si="11"/>
        <v>96114988.836445004</v>
      </c>
      <c r="L74" s="44">
        <f t="shared" si="14"/>
        <v>47</v>
      </c>
      <c r="M74" s="7"/>
      <c r="P74" s="2" t="s">
        <v>33</v>
      </c>
      <c r="Q74" s="2" t="s">
        <v>77</v>
      </c>
      <c r="R74" s="2">
        <v>10</v>
      </c>
    </row>
    <row r="75" spans="2:18" ht="12.75" collapsed="1" thickBot="1" x14ac:dyDescent="0.3">
      <c r="B75" s="6"/>
      <c r="F75" s="41" t="s">
        <v>98</v>
      </c>
      <c r="G75" s="58">
        <f t="shared" si="6"/>
        <v>1529644.9907406308</v>
      </c>
      <c r="H75" s="58">
        <f t="shared" si="12"/>
        <v>961149.88836445007</v>
      </c>
      <c r="I75" s="59">
        <f t="shared" si="13"/>
        <v>2490794.8791050809</v>
      </c>
      <c r="J75" s="60">
        <f t="shared" si="11"/>
        <v>94585343.845704377</v>
      </c>
      <c r="L75" s="44">
        <f t="shared" si="14"/>
        <v>48</v>
      </c>
      <c r="M75" s="7"/>
      <c r="P75" s="2" t="s">
        <v>33</v>
      </c>
      <c r="Q75" s="2" t="s">
        <v>78</v>
      </c>
      <c r="R75" s="2">
        <v>8</v>
      </c>
    </row>
    <row r="76" spans="2:18" hidden="1" outlineLevel="1" collapsed="1" x14ac:dyDescent="0.25">
      <c r="B76" s="6"/>
      <c r="F76" s="41" t="s">
        <v>99</v>
      </c>
      <c r="G76" s="46">
        <f t="shared" si="6"/>
        <v>1544941.440648037</v>
      </c>
      <c r="H76" s="46">
        <f t="shared" si="12"/>
        <v>945853.43845704384</v>
      </c>
      <c r="I76" s="47">
        <f t="shared" si="13"/>
        <v>2490794.8791050809</v>
      </c>
      <c r="J76" s="48">
        <f t="shared" si="11"/>
        <v>93040402.405056342</v>
      </c>
      <c r="L76" s="44">
        <f t="shared" si="14"/>
        <v>49</v>
      </c>
      <c r="M76" s="7"/>
      <c r="P76" s="2" t="s">
        <v>31</v>
      </c>
      <c r="Q76" s="2" t="s">
        <v>79</v>
      </c>
      <c r="R76" s="2">
        <v>9</v>
      </c>
    </row>
    <row r="77" spans="2:18" hidden="1" outlineLevel="1" x14ac:dyDescent="0.25">
      <c r="B77" s="6"/>
      <c r="F77" s="45"/>
      <c r="G77" s="46">
        <f t="shared" si="6"/>
        <v>1560390.8550545175</v>
      </c>
      <c r="H77" s="46">
        <f t="shared" si="12"/>
        <v>930404.02405056334</v>
      </c>
      <c r="I77" s="47">
        <f t="shared" si="13"/>
        <v>2490794.8791050809</v>
      </c>
      <c r="J77" s="48">
        <f t="shared" si="11"/>
        <v>91480011.55000183</v>
      </c>
      <c r="L77" s="44">
        <f t="shared" si="14"/>
        <v>50</v>
      </c>
      <c r="M77" s="7"/>
      <c r="P77" s="2" t="s">
        <v>39</v>
      </c>
      <c r="Q77" s="2" t="s">
        <v>80</v>
      </c>
      <c r="R77" s="2">
        <v>8</v>
      </c>
    </row>
    <row r="78" spans="2:18" hidden="1" outlineLevel="1" x14ac:dyDescent="0.25">
      <c r="B78" s="6"/>
      <c r="F78" s="45"/>
      <c r="G78" s="46">
        <f t="shared" si="6"/>
        <v>1575994.7636050624</v>
      </c>
      <c r="H78" s="46">
        <f t="shared" si="12"/>
        <v>914800.11550001835</v>
      </c>
      <c r="I78" s="47">
        <f t="shared" si="13"/>
        <v>2490794.8791050809</v>
      </c>
      <c r="J78" s="48">
        <f t="shared" si="11"/>
        <v>89904016.786396772</v>
      </c>
      <c r="L78" s="44">
        <f t="shared" si="14"/>
        <v>51</v>
      </c>
      <c r="M78" s="7"/>
    </row>
    <row r="79" spans="2:18" hidden="1" outlineLevel="1" x14ac:dyDescent="0.25">
      <c r="B79" s="6"/>
      <c r="F79" s="45"/>
      <c r="G79" s="46">
        <f t="shared" si="6"/>
        <v>1591754.711241113</v>
      </c>
      <c r="H79" s="46">
        <f t="shared" si="12"/>
        <v>899040.16786396783</v>
      </c>
      <c r="I79" s="47">
        <f t="shared" si="13"/>
        <v>2490794.8791050809</v>
      </c>
      <c r="J79" s="48">
        <f t="shared" si="11"/>
        <v>88312262.075155661</v>
      </c>
      <c r="L79" s="44">
        <f t="shared" si="14"/>
        <v>52</v>
      </c>
      <c r="M79" s="7"/>
    </row>
    <row r="80" spans="2:18" hidden="1" outlineLevel="1" x14ac:dyDescent="0.25">
      <c r="B80" s="6"/>
      <c r="F80" s="45"/>
      <c r="G80" s="46">
        <f t="shared" si="6"/>
        <v>1607672.2583535244</v>
      </c>
      <c r="H80" s="46">
        <f t="shared" si="12"/>
        <v>883122.62075155659</v>
      </c>
      <c r="I80" s="47">
        <f t="shared" si="13"/>
        <v>2490794.8791050809</v>
      </c>
      <c r="J80" s="48">
        <f t="shared" si="11"/>
        <v>86704589.816802129</v>
      </c>
      <c r="L80" s="44">
        <f t="shared" si="14"/>
        <v>53</v>
      </c>
      <c r="M80" s="7"/>
    </row>
    <row r="81" spans="2:13" hidden="1" outlineLevel="1" x14ac:dyDescent="0.25">
      <c r="B81" s="6"/>
      <c r="F81" s="45"/>
      <c r="G81" s="46">
        <f t="shared" si="6"/>
        <v>1623748.9809370595</v>
      </c>
      <c r="H81" s="46">
        <f t="shared" si="12"/>
        <v>867045.89816802146</v>
      </c>
      <c r="I81" s="47">
        <f t="shared" si="13"/>
        <v>2490794.8791050809</v>
      </c>
      <c r="J81" s="48">
        <f t="shared" si="11"/>
        <v>85080840.835865065</v>
      </c>
      <c r="L81" s="44">
        <f t="shared" si="14"/>
        <v>54</v>
      </c>
      <c r="M81" s="7"/>
    </row>
    <row r="82" spans="2:13" hidden="1" outlineLevel="1" x14ac:dyDescent="0.25">
      <c r="B82" s="6"/>
      <c r="F82" s="45"/>
      <c r="G82" s="46">
        <f t="shared" si="6"/>
        <v>1639986.4707464301</v>
      </c>
      <c r="H82" s="46">
        <f t="shared" si="12"/>
        <v>850808.40835865063</v>
      </c>
      <c r="I82" s="47">
        <f t="shared" si="13"/>
        <v>2490794.8791050809</v>
      </c>
      <c r="J82" s="48">
        <f t="shared" si="11"/>
        <v>83440854.365118638</v>
      </c>
      <c r="L82" s="44">
        <f t="shared" si="14"/>
        <v>55</v>
      </c>
      <c r="M82" s="7"/>
    </row>
    <row r="83" spans="2:13" hidden="1" outlineLevel="1" x14ac:dyDescent="0.25">
      <c r="B83" s="6"/>
      <c r="F83" s="45"/>
      <c r="G83" s="46">
        <f t="shared" si="6"/>
        <v>1656386.3354538945</v>
      </c>
      <c r="H83" s="46">
        <f t="shared" si="12"/>
        <v>834408.5436511864</v>
      </c>
      <c r="I83" s="47">
        <f t="shared" si="13"/>
        <v>2490794.8791050809</v>
      </c>
      <c r="J83" s="48">
        <f t="shared" si="11"/>
        <v>81784468.02966474</v>
      </c>
      <c r="L83" s="44">
        <f t="shared" si="14"/>
        <v>56</v>
      </c>
      <c r="M83" s="7"/>
    </row>
    <row r="84" spans="2:13" hidden="1" outlineLevel="1" x14ac:dyDescent="0.25">
      <c r="B84" s="6"/>
      <c r="F84" s="45"/>
      <c r="G84" s="46">
        <f t="shared" si="6"/>
        <v>1672950.1988084335</v>
      </c>
      <c r="H84" s="46">
        <f t="shared" si="12"/>
        <v>817844.68029664736</v>
      </c>
      <c r="I84" s="47">
        <f t="shared" si="13"/>
        <v>2490794.8791050809</v>
      </c>
      <c r="J84" s="48">
        <f t="shared" si="11"/>
        <v>80111517.830856308</v>
      </c>
      <c r="L84" s="44">
        <f t="shared" si="14"/>
        <v>57</v>
      </c>
      <c r="M84" s="7"/>
    </row>
    <row r="85" spans="2:13" hidden="1" outlineLevel="1" x14ac:dyDescent="0.25">
      <c r="B85" s="6"/>
      <c r="F85" s="45"/>
      <c r="G85" s="46">
        <f t="shared" si="6"/>
        <v>1689679.7007965178</v>
      </c>
      <c r="H85" s="46">
        <f t="shared" si="12"/>
        <v>801115.17830856307</v>
      </c>
      <c r="I85" s="47">
        <f t="shared" si="13"/>
        <v>2490794.8791050809</v>
      </c>
      <c r="J85" s="48">
        <f t="shared" si="11"/>
        <v>78421838.130059794</v>
      </c>
      <c r="L85" s="44">
        <f t="shared" si="14"/>
        <v>58</v>
      </c>
      <c r="M85" s="7"/>
    </row>
    <row r="86" spans="2:13" ht="12.75" hidden="1" outlineLevel="1" thickBot="1" x14ac:dyDescent="0.3">
      <c r="B86" s="6"/>
      <c r="F86" s="45"/>
      <c r="G86" s="46">
        <f t="shared" si="6"/>
        <v>1706576.4978044829</v>
      </c>
      <c r="H86" s="46">
        <f t="shared" si="12"/>
        <v>784218.38130059792</v>
      </c>
      <c r="I86" s="47">
        <f t="shared" si="13"/>
        <v>2490794.8791050809</v>
      </c>
      <c r="J86" s="48">
        <f t="shared" si="11"/>
        <v>76715261.632255316</v>
      </c>
      <c r="L86" s="44">
        <f t="shared" si="14"/>
        <v>59</v>
      </c>
      <c r="M86" s="7"/>
    </row>
    <row r="87" spans="2:13" ht="12.75" collapsed="1" thickBot="1" x14ac:dyDescent="0.3">
      <c r="B87" s="6"/>
      <c r="F87" s="41" t="s">
        <v>99</v>
      </c>
      <c r="G87" s="51">
        <f t="shared" si="6"/>
        <v>1723642.2627825276</v>
      </c>
      <c r="H87" s="51">
        <f t="shared" si="12"/>
        <v>767152.61632255313</v>
      </c>
      <c r="I87" s="52">
        <f t="shared" si="13"/>
        <v>2490794.8791050809</v>
      </c>
      <c r="J87" s="53">
        <f t="shared" si="11"/>
        <v>74991619.369472787</v>
      </c>
      <c r="L87" s="44">
        <f t="shared" si="14"/>
        <v>60</v>
      </c>
      <c r="M87" s="7"/>
    </row>
    <row r="88" spans="2:13" hidden="1" outlineLevel="1" collapsed="1" x14ac:dyDescent="0.25">
      <c r="B88" s="6"/>
      <c r="F88" s="41" t="s">
        <v>100</v>
      </c>
      <c r="G88" s="42">
        <f t="shared" si="6"/>
        <v>1740878.6854103529</v>
      </c>
      <c r="H88" s="42">
        <f t="shared" si="12"/>
        <v>749916.19369472784</v>
      </c>
      <c r="I88" s="54">
        <f t="shared" si="13"/>
        <v>2490794.8791050809</v>
      </c>
      <c r="J88" s="55">
        <f t="shared" si="11"/>
        <v>73250740.684062436</v>
      </c>
      <c r="L88" s="44">
        <f t="shared" si="14"/>
        <v>61</v>
      </c>
      <c r="M88" s="7"/>
    </row>
    <row r="89" spans="2:13" hidden="1" outlineLevel="1" x14ac:dyDescent="0.25">
      <c r="B89" s="6"/>
      <c r="F89" s="45"/>
      <c r="G89" s="14">
        <f t="shared" si="6"/>
        <v>1758287.4722644566</v>
      </c>
      <c r="H89" s="14">
        <f t="shared" si="12"/>
        <v>732507.4068406244</v>
      </c>
      <c r="I89" s="18">
        <f t="shared" si="13"/>
        <v>2490794.8791050809</v>
      </c>
      <c r="J89" s="16">
        <f t="shared" si="11"/>
        <v>71492453.211797982</v>
      </c>
      <c r="L89" s="44">
        <f t="shared" si="14"/>
        <v>62</v>
      </c>
      <c r="M89" s="7"/>
    </row>
    <row r="90" spans="2:13" hidden="1" outlineLevel="1" x14ac:dyDescent="0.25">
      <c r="B90" s="6"/>
      <c r="F90" s="45"/>
      <c r="G90" s="14">
        <f t="shared" si="6"/>
        <v>1775870.346987101</v>
      </c>
      <c r="H90" s="14">
        <f t="shared" si="12"/>
        <v>714924.53211797983</v>
      </c>
      <c r="I90" s="18">
        <f t="shared" si="13"/>
        <v>2490794.8791050809</v>
      </c>
      <c r="J90" s="16">
        <f t="shared" si="11"/>
        <v>69716582.864810884</v>
      </c>
      <c r="L90" s="44">
        <f t="shared" si="14"/>
        <v>63</v>
      </c>
      <c r="M90" s="7"/>
    </row>
    <row r="91" spans="2:13" hidden="1" outlineLevel="1" x14ac:dyDescent="0.25">
      <c r="B91" s="6"/>
      <c r="F91" s="45"/>
      <c r="G91" s="14">
        <f t="shared" si="6"/>
        <v>1793629.0504569719</v>
      </c>
      <c r="H91" s="14">
        <f t="shared" si="12"/>
        <v>697165.82864810887</v>
      </c>
      <c r="I91" s="18">
        <f t="shared" si="13"/>
        <v>2490794.8791050809</v>
      </c>
      <c r="J91" s="16">
        <f t="shared" si="11"/>
        <v>67922953.814353913</v>
      </c>
      <c r="L91" s="44">
        <f t="shared" si="14"/>
        <v>64</v>
      </c>
      <c r="M91" s="7"/>
    </row>
    <row r="92" spans="2:13" hidden="1" outlineLevel="1" x14ac:dyDescent="0.25">
      <c r="B92" s="6"/>
      <c r="F92" s="45"/>
      <c r="G92" s="14">
        <f t="shared" si="6"/>
        <v>1811565.3409615417</v>
      </c>
      <c r="H92" s="14">
        <f t="shared" si="12"/>
        <v>679229.5381435391</v>
      </c>
      <c r="I92" s="18">
        <f t="shared" si="13"/>
        <v>2490794.8791050809</v>
      </c>
      <c r="J92" s="16">
        <f t="shared" ref="J92:J123" si="15">IF(L92="",0,(J91-G92))</f>
        <v>66111388.473392375</v>
      </c>
      <c r="L92" s="44">
        <f t="shared" si="14"/>
        <v>65</v>
      </c>
      <c r="M92" s="7"/>
    </row>
    <row r="93" spans="2:13" hidden="1" outlineLevel="1" x14ac:dyDescent="0.25">
      <c r="B93" s="6"/>
      <c r="F93" s="45"/>
      <c r="G93" s="14">
        <f t="shared" ref="G93:G156" si="16">IF(J92&gt;1,(I93-H93),"")</f>
        <v>1829680.9943711571</v>
      </c>
      <c r="H93" s="14">
        <f t="shared" ref="H93:H124" si="17">IF(J92&gt;1,IPMT($D$24,1,$D$25,-J92),"")</f>
        <v>661113.88473392371</v>
      </c>
      <c r="I93" s="18">
        <f t="shared" ref="I93:I124" si="18">IF(J92&gt;1,$D$26,"")</f>
        <v>2490794.8791050809</v>
      </c>
      <c r="J93" s="16">
        <f t="shared" si="15"/>
        <v>64281707.479021221</v>
      </c>
      <c r="L93" s="44">
        <f t="shared" ref="L93:L124" si="19">IF(J92&lt;1,"",L92+1)</f>
        <v>66</v>
      </c>
      <c r="M93" s="7"/>
    </row>
    <row r="94" spans="2:13" hidden="1" outlineLevel="1" x14ac:dyDescent="0.25">
      <c r="B94" s="6"/>
      <c r="F94" s="45"/>
      <c r="G94" s="14">
        <f t="shared" si="16"/>
        <v>1847977.8043148685</v>
      </c>
      <c r="H94" s="14">
        <f t="shared" si="17"/>
        <v>642817.07479021221</v>
      </c>
      <c r="I94" s="18">
        <f t="shared" si="18"/>
        <v>2490794.8791050809</v>
      </c>
      <c r="J94" s="16">
        <f t="shared" si="15"/>
        <v>62433729.674706355</v>
      </c>
      <c r="L94" s="44">
        <f t="shared" si="19"/>
        <v>67</v>
      </c>
      <c r="M94" s="7"/>
    </row>
    <row r="95" spans="2:13" hidden="1" outlineLevel="1" x14ac:dyDescent="0.25">
      <c r="B95" s="6"/>
      <c r="F95" s="45"/>
      <c r="G95" s="14">
        <f t="shared" si="16"/>
        <v>1866457.5823580171</v>
      </c>
      <c r="H95" s="14">
        <f t="shared" si="17"/>
        <v>624337.29674706364</v>
      </c>
      <c r="I95" s="18">
        <f t="shared" si="18"/>
        <v>2490794.8791050809</v>
      </c>
      <c r="J95" s="16">
        <f t="shared" si="15"/>
        <v>60567272.092348337</v>
      </c>
      <c r="L95" s="44">
        <f t="shared" si="19"/>
        <v>68</v>
      </c>
      <c r="M95" s="7"/>
    </row>
    <row r="96" spans="2:13" hidden="1" outlineLevel="1" x14ac:dyDescent="0.25">
      <c r="B96" s="6"/>
      <c r="F96" s="45"/>
      <c r="G96" s="14">
        <f t="shared" si="16"/>
        <v>1885122.1581815975</v>
      </c>
      <c r="H96" s="14">
        <f t="shared" si="17"/>
        <v>605672.72092348337</v>
      </c>
      <c r="I96" s="18">
        <f t="shared" si="18"/>
        <v>2490794.8791050809</v>
      </c>
      <c r="J96" s="16">
        <f t="shared" si="15"/>
        <v>58682149.934166737</v>
      </c>
      <c r="L96" s="44">
        <f t="shared" si="19"/>
        <v>69</v>
      </c>
      <c r="M96" s="7"/>
    </row>
    <row r="97" spans="2:13" hidden="1" outlineLevel="1" x14ac:dyDescent="0.25">
      <c r="B97" s="6"/>
      <c r="F97" s="45"/>
      <c r="G97" s="14">
        <f t="shared" si="16"/>
        <v>1903973.3797634135</v>
      </c>
      <c r="H97" s="14">
        <f t="shared" si="17"/>
        <v>586821.4993416674</v>
      </c>
      <c r="I97" s="18">
        <f t="shared" si="18"/>
        <v>2490794.8791050809</v>
      </c>
      <c r="J97" s="16">
        <f t="shared" si="15"/>
        <v>56778176.55440332</v>
      </c>
      <c r="L97" s="44">
        <f t="shared" si="19"/>
        <v>70</v>
      </c>
      <c r="M97" s="7"/>
    </row>
    <row r="98" spans="2:13" ht="12.75" hidden="1" outlineLevel="1" thickBot="1" x14ac:dyDescent="0.3">
      <c r="B98" s="6"/>
      <c r="F98" s="45"/>
      <c r="G98" s="14">
        <f t="shared" si="16"/>
        <v>1923013.1135610477</v>
      </c>
      <c r="H98" s="14">
        <f t="shared" si="17"/>
        <v>567781.76554403326</v>
      </c>
      <c r="I98" s="18">
        <f t="shared" si="18"/>
        <v>2490794.8791050809</v>
      </c>
      <c r="J98" s="16">
        <f t="shared" si="15"/>
        <v>54855163.440842271</v>
      </c>
      <c r="L98" s="44">
        <f t="shared" si="19"/>
        <v>71</v>
      </c>
      <c r="M98" s="7"/>
    </row>
    <row r="99" spans="2:13" ht="12.75" collapsed="1" thickBot="1" x14ac:dyDescent="0.3">
      <c r="B99" s="6"/>
      <c r="F99" s="41" t="s">
        <v>100</v>
      </c>
      <c r="G99" s="58">
        <f t="shared" si="16"/>
        <v>1942243.2446966581</v>
      </c>
      <c r="H99" s="58">
        <f t="shared" si="17"/>
        <v>548551.63440842275</v>
      </c>
      <c r="I99" s="59">
        <f t="shared" si="18"/>
        <v>2490794.8791050809</v>
      </c>
      <c r="J99" s="60">
        <f t="shared" si="15"/>
        <v>52912920.196145609</v>
      </c>
      <c r="L99" s="44">
        <f t="shared" si="19"/>
        <v>72</v>
      </c>
      <c r="M99" s="7"/>
    </row>
    <row r="100" spans="2:13" hidden="1" outlineLevel="1" collapsed="1" x14ac:dyDescent="0.25">
      <c r="B100" s="6"/>
      <c r="F100" s="41" t="s">
        <v>101</v>
      </c>
      <c r="G100" s="46">
        <f t="shared" si="16"/>
        <v>1961665.6771436245</v>
      </c>
      <c r="H100" s="46">
        <f t="shared" si="17"/>
        <v>529129.20196145622</v>
      </c>
      <c r="I100" s="47">
        <f t="shared" si="18"/>
        <v>2490794.8791050809</v>
      </c>
      <c r="J100" s="48">
        <f t="shared" si="15"/>
        <v>50951254.519001983</v>
      </c>
      <c r="L100" s="44">
        <f t="shared" si="19"/>
        <v>73</v>
      </c>
      <c r="M100" s="7"/>
    </row>
    <row r="101" spans="2:13" hidden="1" outlineLevel="1" x14ac:dyDescent="0.25">
      <c r="B101" s="6"/>
      <c r="F101" s="45"/>
      <c r="G101" s="46">
        <f t="shared" si="16"/>
        <v>1981282.3339150611</v>
      </c>
      <c r="H101" s="46">
        <f t="shared" si="17"/>
        <v>509512.54519001982</v>
      </c>
      <c r="I101" s="47">
        <f t="shared" si="18"/>
        <v>2490794.8791050809</v>
      </c>
      <c r="J101" s="48">
        <f t="shared" si="15"/>
        <v>48969972.185086921</v>
      </c>
      <c r="L101" s="44">
        <f t="shared" si="19"/>
        <v>74</v>
      </c>
      <c r="M101" s="7"/>
    </row>
    <row r="102" spans="2:13" hidden="1" outlineLevel="1" x14ac:dyDescent="0.25">
      <c r="B102" s="6"/>
      <c r="F102" s="45"/>
      <c r="G102" s="46">
        <f t="shared" si="16"/>
        <v>2001095.1572542116</v>
      </c>
      <c r="H102" s="46">
        <f t="shared" si="17"/>
        <v>489699.7218508693</v>
      </c>
      <c r="I102" s="47">
        <f t="shared" si="18"/>
        <v>2490794.8791050809</v>
      </c>
      <c r="J102" s="48">
        <f t="shared" si="15"/>
        <v>46968877.027832709</v>
      </c>
      <c r="L102" s="44">
        <f t="shared" si="19"/>
        <v>75</v>
      </c>
      <c r="M102" s="7"/>
    </row>
    <row r="103" spans="2:13" hidden="1" outlineLevel="1" x14ac:dyDescent="0.25">
      <c r="B103" s="6"/>
      <c r="F103" s="45"/>
      <c r="G103" s="46">
        <f t="shared" si="16"/>
        <v>2021106.1088267537</v>
      </c>
      <c r="H103" s="46">
        <f t="shared" si="17"/>
        <v>469688.77027832711</v>
      </c>
      <c r="I103" s="47">
        <f t="shared" si="18"/>
        <v>2490794.8791050809</v>
      </c>
      <c r="J103" s="48">
        <f t="shared" si="15"/>
        <v>44947770.919005953</v>
      </c>
      <c r="L103" s="44">
        <f t="shared" si="19"/>
        <v>76</v>
      </c>
      <c r="M103" s="7"/>
    </row>
    <row r="104" spans="2:13" hidden="1" outlineLevel="1" x14ac:dyDescent="0.25">
      <c r="B104" s="6"/>
      <c r="F104" s="45"/>
      <c r="G104" s="46">
        <f t="shared" si="16"/>
        <v>2041317.1699150214</v>
      </c>
      <c r="H104" s="46">
        <f t="shared" si="17"/>
        <v>449477.70919005951</v>
      </c>
      <c r="I104" s="47">
        <f t="shared" si="18"/>
        <v>2490794.8791050809</v>
      </c>
      <c r="J104" s="48">
        <f t="shared" si="15"/>
        <v>42906453.749090932</v>
      </c>
      <c r="L104" s="44">
        <f t="shared" si="19"/>
        <v>77</v>
      </c>
      <c r="M104" s="7"/>
    </row>
    <row r="105" spans="2:13" hidden="1" outlineLevel="1" x14ac:dyDescent="0.25">
      <c r="B105" s="6"/>
      <c r="F105" s="45"/>
      <c r="G105" s="46">
        <f t="shared" si="16"/>
        <v>2061730.3416141714</v>
      </c>
      <c r="H105" s="46">
        <f t="shared" si="17"/>
        <v>429064.53749090934</v>
      </c>
      <c r="I105" s="47">
        <f t="shared" si="18"/>
        <v>2490794.8791050809</v>
      </c>
      <c r="J105" s="48">
        <f t="shared" si="15"/>
        <v>40844723.40747676</v>
      </c>
      <c r="L105" s="44">
        <f t="shared" si="19"/>
        <v>78</v>
      </c>
      <c r="M105" s="7"/>
    </row>
    <row r="106" spans="2:13" hidden="1" outlineLevel="1" x14ac:dyDescent="0.25">
      <c r="B106" s="6"/>
      <c r="F106" s="45"/>
      <c r="G106" s="46">
        <f t="shared" si="16"/>
        <v>2082347.6450303132</v>
      </c>
      <c r="H106" s="46">
        <f t="shared" si="17"/>
        <v>408447.23407476762</v>
      </c>
      <c r="I106" s="47">
        <f t="shared" si="18"/>
        <v>2490794.8791050809</v>
      </c>
      <c r="J106" s="48">
        <f t="shared" si="15"/>
        <v>38762375.762446448</v>
      </c>
      <c r="L106" s="44">
        <f t="shared" si="19"/>
        <v>79</v>
      </c>
      <c r="M106" s="7"/>
    </row>
    <row r="107" spans="2:13" hidden="1" outlineLevel="1" x14ac:dyDescent="0.25">
      <c r="B107" s="6"/>
      <c r="F107" s="45"/>
      <c r="G107" s="46">
        <f t="shared" si="16"/>
        <v>2103171.1214806163</v>
      </c>
      <c r="H107" s="46">
        <f t="shared" si="17"/>
        <v>387623.75762446452</v>
      </c>
      <c r="I107" s="47">
        <f t="shared" si="18"/>
        <v>2490794.8791050809</v>
      </c>
      <c r="J107" s="48">
        <f t="shared" si="15"/>
        <v>36659204.640965834</v>
      </c>
      <c r="L107" s="44">
        <f t="shared" si="19"/>
        <v>80</v>
      </c>
      <c r="M107" s="7"/>
    </row>
    <row r="108" spans="2:13" hidden="1" outlineLevel="1" x14ac:dyDescent="0.25">
      <c r="B108" s="6"/>
      <c r="F108" s="45"/>
      <c r="G108" s="46">
        <f t="shared" si="16"/>
        <v>2124202.8326954227</v>
      </c>
      <c r="H108" s="46">
        <f t="shared" si="17"/>
        <v>366592.04640965833</v>
      </c>
      <c r="I108" s="47">
        <f t="shared" si="18"/>
        <v>2490794.8791050809</v>
      </c>
      <c r="J108" s="48">
        <f t="shared" si="15"/>
        <v>34535001.80827041</v>
      </c>
      <c r="L108" s="44">
        <f t="shared" si="19"/>
        <v>81</v>
      </c>
      <c r="M108" s="7"/>
    </row>
    <row r="109" spans="2:13" hidden="1" outlineLevel="1" x14ac:dyDescent="0.25">
      <c r="B109" s="6"/>
      <c r="F109" s="45"/>
      <c r="G109" s="46">
        <f t="shared" si="16"/>
        <v>2145444.8610223769</v>
      </c>
      <c r="H109" s="46">
        <f t="shared" si="17"/>
        <v>345350.0180827041</v>
      </c>
      <c r="I109" s="47">
        <f t="shared" si="18"/>
        <v>2490794.8791050809</v>
      </c>
      <c r="J109" s="48">
        <f t="shared" si="15"/>
        <v>32389556.947248034</v>
      </c>
      <c r="L109" s="44">
        <f t="shared" si="19"/>
        <v>82</v>
      </c>
      <c r="M109" s="7"/>
    </row>
    <row r="110" spans="2:13" ht="12.75" hidden="1" outlineLevel="1" thickBot="1" x14ac:dyDescent="0.3">
      <c r="B110" s="6"/>
      <c r="F110" s="45"/>
      <c r="G110" s="46">
        <f t="shared" si="16"/>
        <v>2166899.3096326003</v>
      </c>
      <c r="H110" s="46">
        <f t="shared" si="17"/>
        <v>323895.56947248033</v>
      </c>
      <c r="I110" s="47">
        <f t="shared" si="18"/>
        <v>2490794.8791050809</v>
      </c>
      <c r="J110" s="48">
        <f t="shared" si="15"/>
        <v>30222657.637615435</v>
      </c>
      <c r="L110" s="44">
        <f t="shared" si="19"/>
        <v>83</v>
      </c>
      <c r="M110" s="7"/>
    </row>
    <row r="111" spans="2:13" ht="12.75" collapsed="1" thickBot="1" x14ac:dyDescent="0.3">
      <c r="B111" s="6"/>
      <c r="F111" s="41" t="s">
        <v>101</v>
      </c>
      <c r="G111" s="51">
        <f t="shared" si="16"/>
        <v>2188568.3027289263</v>
      </c>
      <c r="H111" s="51">
        <f t="shared" si="17"/>
        <v>302226.57637615438</v>
      </c>
      <c r="I111" s="52">
        <f t="shared" si="18"/>
        <v>2490794.8791050809</v>
      </c>
      <c r="J111" s="53">
        <f t="shared" si="15"/>
        <v>28034089.33488651</v>
      </c>
      <c r="L111" s="44">
        <f t="shared" si="19"/>
        <v>84</v>
      </c>
      <c r="M111" s="7"/>
    </row>
    <row r="112" spans="2:13" hidden="1" outlineLevel="1" collapsed="1" x14ac:dyDescent="0.25">
      <c r="B112" s="6"/>
      <c r="F112" s="41" t="s">
        <v>102</v>
      </c>
      <c r="G112" s="42">
        <f t="shared" si="16"/>
        <v>2210453.9857562156</v>
      </c>
      <c r="H112" s="42">
        <f t="shared" si="17"/>
        <v>280340.89334886509</v>
      </c>
      <c r="I112" s="54">
        <f t="shared" si="18"/>
        <v>2490794.8791050809</v>
      </c>
      <c r="J112" s="55">
        <f t="shared" si="15"/>
        <v>25823635.349130295</v>
      </c>
      <c r="L112" s="44">
        <f t="shared" si="19"/>
        <v>85</v>
      </c>
      <c r="M112" s="7"/>
    </row>
    <row r="113" spans="2:13" hidden="1" outlineLevel="1" x14ac:dyDescent="0.25">
      <c r="B113" s="6"/>
      <c r="F113" s="45"/>
      <c r="G113" s="14">
        <f t="shared" si="16"/>
        <v>2232558.5256137778</v>
      </c>
      <c r="H113" s="14">
        <f t="shared" si="17"/>
        <v>258236.35349130296</v>
      </c>
      <c r="I113" s="18">
        <f t="shared" si="18"/>
        <v>2490794.8791050809</v>
      </c>
      <c r="J113" s="16">
        <f t="shared" si="15"/>
        <v>23591076.823516518</v>
      </c>
      <c r="L113" s="44">
        <f t="shared" si="19"/>
        <v>86</v>
      </c>
      <c r="M113" s="7"/>
    </row>
    <row r="114" spans="2:13" hidden="1" outlineLevel="1" x14ac:dyDescent="0.25">
      <c r="B114" s="6"/>
      <c r="F114" s="45"/>
      <c r="G114" s="14">
        <f t="shared" si="16"/>
        <v>2254884.1108699157</v>
      </c>
      <c r="H114" s="14">
        <f t="shared" si="17"/>
        <v>235910.76823516519</v>
      </c>
      <c r="I114" s="18">
        <f t="shared" si="18"/>
        <v>2490794.8791050809</v>
      </c>
      <c r="J114" s="16">
        <f t="shared" si="15"/>
        <v>21336192.712646604</v>
      </c>
      <c r="L114" s="44">
        <f t="shared" si="19"/>
        <v>87</v>
      </c>
      <c r="M114" s="7"/>
    </row>
    <row r="115" spans="2:13" hidden="1" outlineLevel="1" x14ac:dyDescent="0.25">
      <c r="B115" s="6"/>
      <c r="F115" s="45"/>
      <c r="G115" s="14">
        <f t="shared" si="16"/>
        <v>2277432.951978615</v>
      </c>
      <c r="H115" s="14">
        <f t="shared" si="17"/>
        <v>213361.92712646601</v>
      </c>
      <c r="I115" s="18">
        <f t="shared" si="18"/>
        <v>2490794.8791050809</v>
      </c>
      <c r="J115" s="16">
        <f t="shared" si="15"/>
        <v>19058759.760667987</v>
      </c>
      <c r="L115" s="44">
        <f t="shared" si="19"/>
        <v>88</v>
      </c>
      <c r="M115" s="7"/>
    </row>
    <row r="116" spans="2:13" hidden="1" outlineLevel="1" x14ac:dyDescent="0.25">
      <c r="B116" s="6"/>
      <c r="F116" s="45"/>
      <c r="G116" s="14">
        <f t="shared" si="16"/>
        <v>2300207.281498401</v>
      </c>
      <c r="H116" s="14">
        <f t="shared" si="17"/>
        <v>190587.59760667986</v>
      </c>
      <c r="I116" s="18">
        <f t="shared" si="18"/>
        <v>2490794.8791050809</v>
      </c>
      <c r="J116" s="16">
        <f t="shared" si="15"/>
        <v>16758552.479169587</v>
      </c>
      <c r="L116" s="44">
        <f t="shared" si="19"/>
        <v>89</v>
      </c>
      <c r="M116" s="7"/>
    </row>
    <row r="117" spans="2:13" hidden="1" outlineLevel="1" x14ac:dyDescent="0.25">
      <c r="B117" s="6"/>
      <c r="F117" s="45"/>
      <c r="G117" s="14">
        <f t="shared" si="16"/>
        <v>2323209.3543133847</v>
      </c>
      <c r="H117" s="14">
        <f t="shared" si="17"/>
        <v>167585.52479169588</v>
      </c>
      <c r="I117" s="18">
        <f t="shared" si="18"/>
        <v>2490794.8791050809</v>
      </c>
      <c r="J117" s="16">
        <f t="shared" si="15"/>
        <v>14435343.124856202</v>
      </c>
      <c r="L117" s="44">
        <f t="shared" si="19"/>
        <v>90</v>
      </c>
      <c r="M117" s="7"/>
    </row>
    <row r="118" spans="2:13" hidden="1" outlineLevel="1" x14ac:dyDescent="0.25">
      <c r="B118" s="6"/>
      <c r="F118" s="45"/>
      <c r="G118" s="14">
        <f t="shared" si="16"/>
        <v>2346441.4478565189</v>
      </c>
      <c r="H118" s="14">
        <f t="shared" si="17"/>
        <v>144353.43124856203</v>
      </c>
      <c r="I118" s="18">
        <f t="shared" si="18"/>
        <v>2490794.8791050809</v>
      </c>
      <c r="J118" s="16">
        <f t="shared" si="15"/>
        <v>12088901.676999683</v>
      </c>
      <c r="L118" s="44">
        <f t="shared" si="19"/>
        <v>91</v>
      </c>
      <c r="M118" s="7"/>
    </row>
    <row r="119" spans="2:13" hidden="1" outlineLevel="1" x14ac:dyDescent="0.25">
      <c r="B119" s="6"/>
      <c r="F119" s="45"/>
      <c r="G119" s="14">
        <f t="shared" si="16"/>
        <v>2369905.862335084</v>
      </c>
      <c r="H119" s="14">
        <f t="shared" si="17"/>
        <v>120889.01676999683</v>
      </c>
      <c r="I119" s="18">
        <f t="shared" si="18"/>
        <v>2490794.8791050809</v>
      </c>
      <c r="J119" s="16">
        <f t="shared" si="15"/>
        <v>9718995.8146645986</v>
      </c>
      <c r="L119" s="44">
        <f t="shared" si="19"/>
        <v>92</v>
      </c>
      <c r="M119" s="7"/>
    </row>
    <row r="120" spans="2:13" hidden="1" outlineLevel="1" x14ac:dyDescent="0.25">
      <c r="B120" s="6"/>
      <c r="F120" s="45"/>
      <c r="G120" s="14">
        <f t="shared" si="16"/>
        <v>2393604.9209584347</v>
      </c>
      <c r="H120" s="14">
        <f t="shared" si="17"/>
        <v>97189.958146645993</v>
      </c>
      <c r="I120" s="18">
        <f t="shared" si="18"/>
        <v>2490794.8791050809</v>
      </c>
      <c r="J120" s="16">
        <f t="shared" si="15"/>
        <v>7325390.8937061634</v>
      </c>
      <c r="L120" s="44">
        <f t="shared" si="19"/>
        <v>93</v>
      </c>
      <c r="M120" s="7"/>
    </row>
    <row r="121" spans="2:13" hidden="1" outlineLevel="1" x14ac:dyDescent="0.25">
      <c r="B121" s="6"/>
      <c r="F121" s="45"/>
      <c r="G121" s="14">
        <f t="shared" si="16"/>
        <v>2417540.9701680192</v>
      </c>
      <c r="H121" s="14">
        <f t="shared" si="17"/>
        <v>73253.908937061642</v>
      </c>
      <c r="I121" s="18">
        <f t="shared" si="18"/>
        <v>2490794.8791050809</v>
      </c>
      <c r="J121" s="16">
        <f t="shared" si="15"/>
        <v>4907849.9235381447</v>
      </c>
      <c r="L121" s="44">
        <f t="shared" si="19"/>
        <v>94</v>
      </c>
      <c r="M121" s="7"/>
    </row>
    <row r="122" spans="2:13" ht="12.75" hidden="1" outlineLevel="1" thickBot="1" x14ac:dyDescent="0.3">
      <c r="B122" s="6"/>
      <c r="F122" s="45"/>
      <c r="G122" s="14">
        <f t="shared" si="16"/>
        <v>2441716.3798696995</v>
      </c>
      <c r="H122" s="14">
        <f t="shared" si="17"/>
        <v>49078.499235381445</v>
      </c>
      <c r="I122" s="18">
        <f t="shared" si="18"/>
        <v>2490794.8791050809</v>
      </c>
      <c r="J122" s="16">
        <f t="shared" si="15"/>
        <v>2466133.5436684452</v>
      </c>
      <c r="L122" s="44">
        <f t="shared" si="19"/>
        <v>95</v>
      </c>
      <c r="M122" s="7"/>
    </row>
    <row r="123" spans="2:13" ht="12.75" collapsed="1" thickBot="1" x14ac:dyDescent="0.3">
      <c r="B123" s="6"/>
      <c r="F123" s="41" t="s">
        <v>102</v>
      </c>
      <c r="G123" s="58">
        <f t="shared" si="16"/>
        <v>2466133.5436683963</v>
      </c>
      <c r="H123" s="58">
        <f t="shared" si="17"/>
        <v>24661.335436684454</v>
      </c>
      <c r="I123" s="59">
        <f t="shared" si="18"/>
        <v>2490794.8791050809</v>
      </c>
      <c r="J123" s="60">
        <f t="shared" si="15"/>
        <v>4.8894435167312622E-8</v>
      </c>
      <c r="L123" s="44">
        <f t="shared" si="19"/>
        <v>96</v>
      </c>
      <c r="M123" s="7"/>
    </row>
    <row r="124" spans="2:13" hidden="1" outlineLevel="1" collapsed="1" x14ac:dyDescent="0.25">
      <c r="B124" s="6"/>
      <c r="F124" s="41" t="s">
        <v>103</v>
      </c>
      <c r="G124" s="46" t="str">
        <f t="shared" si="16"/>
        <v/>
      </c>
      <c r="H124" s="46" t="str">
        <f t="shared" si="17"/>
        <v/>
      </c>
      <c r="I124" s="47" t="str">
        <f t="shared" si="18"/>
        <v/>
      </c>
      <c r="J124" s="48">
        <f t="shared" ref="J124:J155" si="20">IF(L124="",0,(J123-G124))</f>
        <v>0</v>
      </c>
      <c r="L124" s="44" t="str">
        <f t="shared" si="19"/>
        <v/>
      </c>
      <c r="M124" s="7"/>
    </row>
    <row r="125" spans="2:13" hidden="1" outlineLevel="1" x14ac:dyDescent="0.25">
      <c r="B125" s="6"/>
      <c r="F125" s="45"/>
      <c r="G125" s="46" t="str">
        <f t="shared" si="16"/>
        <v/>
      </c>
      <c r="H125" s="46" t="str">
        <f t="shared" ref="H125:H156" si="21">IF(J124&gt;1,IPMT($D$24,1,$D$25,-J124),"")</f>
        <v/>
      </c>
      <c r="I125" s="47" t="str">
        <f t="shared" ref="I125:I156" si="22">IF(J124&gt;1,$D$26,"")</f>
        <v/>
      </c>
      <c r="J125" s="48">
        <f t="shared" si="20"/>
        <v>0</v>
      </c>
      <c r="L125" s="44" t="str">
        <f t="shared" ref="L125:L156" si="23">IF(J124&lt;1,"",L124+1)</f>
        <v/>
      </c>
      <c r="M125" s="7"/>
    </row>
    <row r="126" spans="2:13" hidden="1" outlineLevel="1" x14ac:dyDescent="0.25">
      <c r="B126" s="6"/>
      <c r="F126" s="45"/>
      <c r="G126" s="46" t="str">
        <f t="shared" si="16"/>
        <v/>
      </c>
      <c r="H126" s="46" t="str">
        <f t="shared" si="21"/>
        <v/>
      </c>
      <c r="I126" s="47" t="str">
        <f t="shared" si="22"/>
        <v/>
      </c>
      <c r="J126" s="48">
        <f t="shared" si="20"/>
        <v>0</v>
      </c>
      <c r="L126" s="44" t="str">
        <f t="shared" si="23"/>
        <v/>
      </c>
      <c r="M126" s="7"/>
    </row>
    <row r="127" spans="2:13" hidden="1" outlineLevel="1" x14ac:dyDescent="0.25">
      <c r="B127" s="6"/>
      <c r="F127" s="45"/>
      <c r="G127" s="46" t="str">
        <f t="shared" si="16"/>
        <v/>
      </c>
      <c r="H127" s="46" t="str">
        <f t="shared" si="21"/>
        <v/>
      </c>
      <c r="I127" s="47" t="str">
        <f t="shared" si="22"/>
        <v/>
      </c>
      <c r="J127" s="48">
        <f t="shared" si="20"/>
        <v>0</v>
      </c>
      <c r="L127" s="44" t="str">
        <f t="shared" si="23"/>
        <v/>
      </c>
      <c r="M127" s="7"/>
    </row>
    <row r="128" spans="2:13" hidden="1" outlineLevel="1" x14ac:dyDescent="0.25">
      <c r="B128" s="6"/>
      <c r="F128" s="45"/>
      <c r="G128" s="46" t="str">
        <f t="shared" si="16"/>
        <v/>
      </c>
      <c r="H128" s="46" t="str">
        <f t="shared" si="21"/>
        <v/>
      </c>
      <c r="I128" s="47" t="str">
        <f t="shared" si="22"/>
        <v/>
      </c>
      <c r="J128" s="48">
        <f t="shared" si="20"/>
        <v>0</v>
      </c>
      <c r="L128" s="44" t="str">
        <f t="shared" si="23"/>
        <v/>
      </c>
      <c r="M128" s="7"/>
    </row>
    <row r="129" spans="2:13" hidden="1" outlineLevel="1" x14ac:dyDescent="0.25">
      <c r="B129" s="6"/>
      <c r="F129" s="45"/>
      <c r="G129" s="46" t="str">
        <f t="shared" si="16"/>
        <v/>
      </c>
      <c r="H129" s="46" t="str">
        <f t="shared" si="21"/>
        <v/>
      </c>
      <c r="I129" s="47" t="str">
        <f t="shared" si="22"/>
        <v/>
      </c>
      <c r="J129" s="48">
        <f t="shared" si="20"/>
        <v>0</v>
      </c>
      <c r="L129" s="44" t="str">
        <f t="shared" si="23"/>
        <v/>
      </c>
      <c r="M129" s="7"/>
    </row>
    <row r="130" spans="2:13" hidden="1" outlineLevel="1" x14ac:dyDescent="0.25">
      <c r="B130" s="6"/>
      <c r="F130" s="45"/>
      <c r="G130" s="46" t="str">
        <f t="shared" si="16"/>
        <v/>
      </c>
      <c r="H130" s="46" t="str">
        <f t="shared" si="21"/>
        <v/>
      </c>
      <c r="I130" s="47" t="str">
        <f t="shared" si="22"/>
        <v/>
      </c>
      <c r="J130" s="48">
        <f t="shared" si="20"/>
        <v>0</v>
      </c>
      <c r="L130" s="44" t="str">
        <f t="shared" si="23"/>
        <v/>
      </c>
      <c r="M130" s="7"/>
    </row>
    <row r="131" spans="2:13" hidden="1" outlineLevel="1" x14ac:dyDescent="0.25">
      <c r="B131" s="6"/>
      <c r="F131" s="45"/>
      <c r="G131" s="46" t="str">
        <f t="shared" si="16"/>
        <v/>
      </c>
      <c r="H131" s="46" t="str">
        <f t="shared" si="21"/>
        <v/>
      </c>
      <c r="I131" s="47" t="str">
        <f t="shared" si="22"/>
        <v/>
      </c>
      <c r="J131" s="48">
        <f t="shared" si="20"/>
        <v>0</v>
      </c>
      <c r="L131" s="44" t="str">
        <f t="shared" si="23"/>
        <v/>
      </c>
      <c r="M131" s="7"/>
    </row>
    <row r="132" spans="2:13" hidden="1" outlineLevel="1" x14ac:dyDescent="0.25">
      <c r="B132" s="6"/>
      <c r="F132" s="45"/>
      <c r="G132" s="46" t="str">
        <f t="shared" si="16"/>
        <v/>
      </c>
      <c r="H132" s="46" t="str">
        <f t="shared" si="21"/>
        <v/>
      </c>
      <c r="I132" s="47" t="str">
        <f t="shared" si="22"/>
        <v/>
      </c>
      <c r="J132" s="48">
        <f t="shared" si="20"/>
        <v>0</v>
      </c>
      <c r="L132" s="44" t="str">
        <f t="shared" si="23"/>
        <v/>
      </c>
      <c r="M132" s="7"/>
    </row>
    <row r="133" spans="2:13" hidden="1" outlineLevel="1" x14ac:dyDescent="0.25">
      <c r="B133" s="6"/>
      <c r="F133" s="45"/>
      <c r="G133" s="46" t="str">
        <f t="shared" si="16"/>
        <v/>
      </c>
      <c r="H133" s="46" t="str">
        <f t="shared" si="21"/>
        <v/>
      </c>
      <c r="I133" s="47" t="str">
        <f t="shared" si="22"/>
        <v/>
      </c>
      <c r="J133" s="48">
        <f t="shared" si="20"/>
        <v>0</v>
      </c>
      <c r="L133" s="44" t="str">
        <f t="shared" si="23"/>
        <v/>
      </c>
      <c r="M133" s="7"/>
    </row>
    <row r="134" spans="2:13" ht="12.75" hidden="1" outlineLevel="1" thickBot="1" x14ac:dyDescent="0.3">
      <c r="B134" s="6"/>
      <c r="F134" s="45"/>
      <c r="G134" s="46" t="str">
        <f t="shared" si="16"/>
        <v/>
      </c>
      <c r="H134" s="46" t="str">
        <f t="shared" si="21"/>
        <v/>
      </c>
      <c r="I134" s="47" t="str">
        <f t="shared" si="22"/>
        <v/>
      </c>
      <c r="J134" s="48">
        <f t="shared" si="20"/>
        <v>0</v>
      </c>
      <c r="L134" s="44" t="str">
        <f t="shared" si="23"/>
        <v/>
      </c>
      <c r="M134" s="7"/>
    </row>
    <row r="135" spans="2:13" ht="12.75" collapsed="1" thickBot="1" x14ac:dyDescent="0.3">
      <c r="B135" s="6"/>
      <c r="F135" s="41" t="s">
        <v>103</v>
      </c>
      <c r="G135" s="51" t="str">
        <f t="shared" si="16"/>
        <v/>
      </c>
      <c r="H135" s="51" t="str">
        <f t="shared" si="21"/>
        <v/>
      </c>
      <c r="I135" s="52" t="str">
        <f t="shared" si="22"/>
        <v/>
      </c>
      <c r="J135" s="53">
        <f t="shared" si="20"/>
        <v>0</v>
      </c>
      <c r="L135" s="44" t="str">
        <f t="shared" si="23"/>
        <v/>
      </c>
      <c r="M135" s="7"/>
    </row>
    <row r="136" spans="2:13" hidden="1" outlineLevel="1" collapsed="1" x14ac:dyDescent="0.25">
      <c r="B136" s="6"/>
      <c r="F136" s="41" t="s">
        <v>104</v>
      </c>
      <c r="G136" s="42" t="str">
        <f t="shared" si="16"/>
        <v/>
      </c>
      <c r="H136" s="42" t="str">
        <f t="shared" si="21"/>
        <v/>
      </c>
      <c r="I136" s="54" t="str">
        <f t="shared" si="22"/>
        <v/>
      </c>
      <c r="J136" s="55">
        <f t="shared" si="20"/>
        <v>0</v>
      </c>
      <c r="L136" s="44" t="str">
        <f t="shared" si="23"/>
        <v/>
      </c>
      <c r="M136" s="7"/>
    </row>
    <row r="137" spans="2:13" hidden="1" outlineLevel="1" x14ac:dyDescent="0.25">
      <c r="B137" s="6"/>
      <c r="F137" s="45"/>
      <c r="G137" s="14" t="str">
        <f t="shared" si="16"/>
        <v/>
      </c>
      <c r="H137" s="14" t="str">
        <f t="shared" si="21"/>
        <v/>
      </c>
      <c r="I137" s="18" t="str">
        <f t="shared" si="22"/>
        <v/>
      </c>
      <c r="J137" s="16">
        <f t="shared" si="20"/>
        <v>0</v>
      </c>
      <c r="L137" s="44" t="str">
        <f t="shared" si="23"/>
        <v/>
      </c>
      <c r="M137" s="7"/>
    </row>
    <row r="138" spans="2:13" hidden="1" outlineLevel="1" x14ac:dyDescent="0.25">
      <c r="B138" s="6"/>
      <c r="F138" s="45"/>
      <c r="G138" s="14" t="str">
        <f t="shared" si="16"/>
        <v/>
      </c>
      <c r="H138" s="14" t="str">
        <f t="shared" si="21"/>
        <v/>
      </c>
      <c r="I138" s="18" t="str">
        <f t="shared" si="22"/>
        <v/>
      </c>
      <c r="J138" s="16">
        <f t="shared" si="20"/>
        <v>0</v>
      </c>
      <c r="L138" s="44" t="str">
        <f t="shared" si="23"/>
        <v/>
      </c>
      <c r="M138" s="7"/>
    </row>
    <row r="139" spans="2:13" hidden="1" outlineLevel="1" x14ac:dyDescent="0.25">
      <c r="B139" s="6"/>
      <c r="F139" s="45"/>
      <c r="G139" s="14" t="str">
        <f t="shared" si="16"/>
        <v/>
      </c>
      <c r="H139" s="14" t="str">
        <f t="shared" si="21"/>
        <v/>
      </c>
      <c r="I139" s="18" t="str">
        <f t="shared" si="22"/>
        <v/>
      </c>
      <c r="J139" s="16">
        <f t="shared" si="20"/>
        <v>0</v>
      </c>
      <c r="L139" s="44" t="str">
        <f t="shared" si="23"/>
        <v/>
      </c>
      <c r="M139" s="7"/>
    </row>
    <row r="140" spans="2:13" hidden="1" outlineLevel="1" x14ac:dyDescent="0.25">
      <c r="B140" s="6"/>
      <c r="F140" s="45"/>
      <c r="G140" s="14" t="str">
        <f t="shared" si="16"/>
        <v/>
      </c>
      <c r="H140" s="14" t="str">
        <f t="shared" si="21"/>
        <v/>
      </c>
      <c r="I140" s="18" t="str">
        <f t="shared" si="22"/>
        <v/>
      </c>
      <c r="J140" s="16">
        <f t="shared" si="20"/>
        <v>0</v>
      </c>
      <c r="L140" s="44" t="str">
        <f t="shared" si="23"/>
        <v/>
      </c>
      <c r="M140" s="7"/>
    </row>
    <row r="141" spans="2:13" hidden="1" outlineLevel="1" x14ac:dyDescent="0.25">
      <c r="B141" s="6"/>
      <c r="F141" s="45"/>
      <c r="G141" s="14" t="str">
        <f t="shared" si="16"/>
        <v/>
      </c>
      <c r="H141" s="14" t="str">
        <f t="shared" si="21"/>
        <v/>
      </c>
      <c r="I141" s="18" t="str">
        <f t="shared" si="22"/>
        <v/>
      </c>
      <c r="J141" s="16">
        <f t="shared" si="20"/>
        <v>0</v>
      </c>
      <c r="L141" s="44" t="str">
        <f t="shared" si="23"/>
        <v/>
      </c>
      <c r="M141" s="7"/>
    </row>
    <row r="142" spans="2:13" hidden="1" outlineLevel="1" x14ac:dyDescent="0.25">
      <c r="B142" s="6"/>
      <c r="F142" s="45"/>
      <c r="G142" s="14" t="str">
        <f t="shared" si="16"/>
        <v/>
      </c>
      <c r="H142" s="14" t="str">
        <f t="shared" si="21"/>
        <v/>
      </c>
      <c r="I142" s="18" t="str">
        <f t="shared" si="22"/>
        <v/>
      </c>
      <c r="J142" s="16">
        <f t="shared" si="20"/>
        <v>0</v>
      </c>
      <c r="L142" s="44" t="str">
        <f t="shared" si="23"/>
        <v/>
      </c>
      <c r="M142" s="7"/>
    </row>
    <row r="143" spans="2:13" hidden="1" outlineLevel="1" x14ac:dyDescent="0.25">
      <c r="B143" s="6"/>
      <c r="F143" s="45"/>
      <c r="G143" s="14" t="str">
        <f t="shared" si="16"/>
        <v/>
      </c>
      <c r="H143" s="14" t="str">
        <f t="shared" si="21"/>
        <v/>
      </c>
      <c r="I143" s="18" t="str">
        <f t="shared" si="22"/>
        <v/>
      </c>
      <c r="J143" s="16">
        <f t="shared" si="20"/>
        <v>0</v>
      </c>
      <c r="L143" s="44" t="str">
        <f t="shared" si="23"/>
        <v/>
      </c>
      <c r="M143" s="7"/>
    </row>
    <row r="144" spans="2:13" hidden="1" outlineLevel="1" x14ac:dyDescent="0.25">
      <c r="B144" s="6"/>
      <c r="F144" s="45"/>
      <c r="G144" s="14" t="str">
        <f t="shared" si="16"/>
        <v/>
      </c>
      <c r="H144" s="14" t="str">
        <f t="shared" si="21"/>
        <v/>
      </c>
      <c r="I144" s="18" t="str">
        <f t="shared" si="22"/>
        <v/>
      </c>
      <c r="J144" s="16">
        <f t="shared" si="20"/>
        <v>0</v>
      </c>
      <c r="L144" s="44" t="str">
        <f t="shared" si="23"/>
        <v/>
      </c>
      <c r="M144" s="7"/>
    </row>
    <row r="145" spans="2:13" hidden="1" outlineLevel="1" x14ac:dyDescent="0.25">
      <c r="B145" s="6"/>
      <c r="F145" s="45"/>
      <c r="G145" s="14" t="str">
        <f t="shared" si="16"/>
        <v/>
      </c>
      <c r="H145" s="14" t="str">
        <f t="shared" si="21"/>
        <v/>
      </c>
      <c r="I145" s="18" t="str">
        <f t="shared" si="22"/>
        <v/>
      </c>
      <c r="J145" s="16">
        <f t="shared" si="20"/>
        <v>0</v>
      </c>
      <c r="L145" s="44" t="str">
        <f t="shared" si="23"/>
        <v/>
      </c>
      <c r="M145" s="7"/>
    </row>
    <row r="146" spans="2:13" ht="12.75" hidden="1" outlineLevel="1" thickBot="1" x14ac:dyDescent="0.3">
      <c r="B146" s="6"/>
      <c r="F146" s="45"/>
      <c r="G146" s="14" t="str">
        <f t="shared" si="16"/>
        <v/>
      </c>
      <c r="H146" s="14" t="str">
        <f t="shared" si="21"/>
        <v/>
      </c>
      <c r="I146" s="18" t="str">
        <f t="shared" si="22"/>
        <v/>
      </c>
      <c r="J146" s="16">
        <f t="shared" si="20"/>
        <v>0</v>
      </c>
      <c r="L146" s="44" t="str">
        <f t="shared" si="23"/>
        <v/>
      </c>
      <c r="M146" s="7"/>
    </row>
    <row r="147" spans="2:13" ht="12.75" collapsed="1" thickBot="1" x14ac:dyDescent="0.3">
      <c r="B147" s="6"/>
      <c r="F147" s="41" t="s">
        <v>104</v>
      </c>
      <c r="G147" s="58" t="str">
        <f t="shared" si="16"/>
        <v/>
      </c>
      <c r="H147" s="58" t="str">
        <f t="shared" si="21"/>
        <v/>
      </c>
      <c r="I147" s="59" t="str">
        <f t="shared" si="22"/>
        <v/>
      </c>
      <c r="J147" s="60">
        <f t="shared" si="20"/>
        <v>0</v>
      </c>
      <c r="L147" s="44" t="str">
        <f t="shared" si="23"/>
        <v/>
      </c>
      <c r="M147" s="7"/>
    </row>
    <row r="148" spans="2:13" hidden="1" outlineLevel="1" collapsed="1" x14ac:dyDescent="0.25">
      <c r="B148" s="6"/>
      <c r="F148" s="41" t="s">
        <v>105</v>
      </c>
      <c r="G148" s="46" t="str">
        <f t="shared" si="16"/>
        <v/>
      </c>
      <c r="H148" s="46" t="str">
        <f t="shared" si="21"/>
        <v/>
      </c>
      <c r="I148" s="47" t="str">
        <f t="shared" si="22"/>
        <v/>
      </c>
      <c r="J148" s="48">
        <f t="shared" si="20"/>
        <v>0</v>
      </c>
      <c r="L148" s="44" t="str">
        <f t="shared" si="23"/>
        <v/>
      </c>
      <c r="M148" s="7"/>
    </row>
    <row r="149" spans="2:13" hidden="1" outlineLevel="1" x14ac:dyDescent="0.25">
      <c r="B149" s="6"/>
      <c r="F149" s="45"/>
      <c r="G149" s="46" t="str">
        <f t="shared" si="16"/>
        <v/>
      </c>
      <c r="H149" s="46" t="str">
        <f t="shared" si="21"/>
        <v/>
      </c>
      <c r="I149" s="47" t="str">
        <f t="shared" si="22"/>
        <v/>
      </c>
      <c r="J149" s="48">
        <f t="shared" si="20"/>
        <v>0</v>
      </c>
      <c r="L149" s="44" t="str">
        <f t="shared" si="23"/>
        <v/>
      </c>
      <c r="M149" s="7"/>
    </row>
    <row r="150" spans="2:13" hidden="1" outlineLevel="1" x14ac:dyDescent="0.25">
      <c r="B150" s="6"/>
      <c r="F150" s="45"/>
      <c r="G150" s="46" t="str">
        <f t="shared" si="16"/>
        <v/>
      </c>
      <c r="H150" s="46" t="str">
        <f t="shared" si="21"/>
        <v/>
      </c>
      <c r="I150" s="47" t="str">
        <f t="shared" si="22"/>
        <v/>
      </c>
      <c r="J150" s="48">
        <f t="shared" si="20"/>
        <v>0</v>
      </c>
      <c r="L150" s="44" t="str">
        <f t="shared" si="23"/>
        <v/>
      </c>
      <c r="M150" s="7"/>
    </row>
    <row r="151" spans="2:13" hidden="1" outlineLevel="1" x14ac:dyDescent="0.25">
      <c r="B151" s="6"/>
      <c r="F151" s="45"/>
      <c r="G151" s="46" t="str">
        <f t="shared" si="16"/>
        <v/>
      </c>
      <c r="H151" s="46" t="str">
        <f t="shared" si="21"/>
        <v/>
      </c>
      <c r="I151" s="47" t="str">
        <f t="shared" si="22"/>
        <v/>
      </c>
      <c r="J151" s="48">
        <f t="shared" si="20"/>
        <v>0</v>
      </c>
      <c r="L151" s="44" t="str">
        <f t="shared" si="23"/>
        <v/>
      </c>
      <c r="M151" s="7"/>
    </row>
    <row r="152" spans="2:13" hidden="1" outlineLevel="1" x14ac:dyDescent="0.25">
      <c r="B152" s="6"/>
      <c r="F152" s="45"/>
      <c r="G152" s="46" t="str">
        <f t="shared" si="16"/>
        <v/>
      </c>
      <c r="H152" s="46" t="str">
        <f t="shared" si="21"/>
        <v/>
      </c>
      <c r="I152" s="47" t="str">
        <f t="shared" si="22"/>
        <v/>
      </c>
      <c r="J152" s="48">
        <f t="shared" si="20"/>
        <v>0</v>
      </c>
      <c r="L152" s="44" t="str">
        <f t="shared" si="23"/>
        <v/>
      </c>
      <c r="M152" s="7"/>
    </row>
    <row r="153" spans="2:13" hidden="1" outlineLevel="1" x14ac:dyDescent="0.25">
      <c r="B153" s="6"/>
      <c r="F153" s="45"/>
      <c r="G153" s="46" t="str">
        <f t="shared" si="16"/>
        <v/>
      </c>
      <c r="H153" s="46" t="str">
        <f t="shared" si="21"/>
        <v/>
      </c>
      <c r="I153" s="47" t="str">
        <f t="shared" si="22"/>
        <v/>
      </c>
      <c r="J153" s="48">
        <f t="shared" si="20"/>
        <v>0</v>
      </c>
      <c r="L153" s="44" t="str">
        <f t="shared" si="23"/>
        <v/>
      </c>
      <c r="M153" s="7"/>
    </row>
    <row r="154" spans="2:13" hidden="1" outlineLevel="1" x14ac:dyDescent="0.25">
      <c r="B154" s="6"/>
      <c r="F154" s="45"/>
      <c r="G154" s="46" t="str">
        <f t="shared" si="16"/>
        <v/>
      </c>
      <c r="H154" s="46" t="str">
        <f t="shared" si="21"/>
        <v/>
      </c>
      <c r="I154" s="47" t="str">
        <f t="shared" si="22"/>
        <v/>
      </c>
      <c r="J154" s="48">
        <f t="shared" si="20"/>
        <v>0</v>
      </c>
      <c r="L154" s="44" t="str">
        <f t="shared" si="23"/>
        <v/>
      </c>
      <c r="M154" s="7"/>
    </row>
    <row r="155" spans="2:13" hidden="1" outlineLevel="1" x14ac:dyDescent="0.25">
      <c r="B155" s="6"/>
      <c r="F155" s="45"/>
      <c r="G155" s="46" t="str">
        <f t="shared" si="16"/>
        <v/>
      </c>
      <c r="H155" s="46" t="str">
        <f t="shared" si="21"/>
        <v/>
      </c>
      <c r="I155" s="47" t="str">
        <f t="shared" si="22"/>
        <v/>
      </c>
      <c r="J155" s="48">
        <f t="shared" si="20"/>
        <v>0</v>
      </c>
      <c r="L155" s="44" t="str">
        <f t="shared" si="23"/>
        <v/>
      </c>
      <c r="M155" s="7"/>
    </row>
    <row r="156" spans="2:13" hidden="1" outlineLevel="1" x14ac:dyDescent="0.25">
      <c r="B156" s="6"/>
      <c r="F156" s="45"/>
      <c r="G156" s="46" t="str">
        <f t="shared" si="16"/>
        <v/>
      </c>
      <c r="H156" s="46" t="str">
        <f t="shared" si="21"/>
        <v/>
      </c>
      <c r="I156" s="47" t="str">
        <f t="shared" si="22"/>
        <v/>
      </c>
      <c r="J156" s="48">
        <f t="shared" ref="J156:J171" si="24">IF(L156="",0,(J155-G156))</f>
        <v>0</v>
      </c>
      <c r="L156" s="44" t="str">
        <f t="shared" si="23"/>
        <v/>
      </c>
      <c r="M156" s="7"/>
    </row>
    <row r="157" spans="2:13" hidden="1" outlineLevel="1" x14ac:dyDescent="0.25">
      <c r="B157" s="6"/>
      <c r="F157" s="45"/>
      <c r="G157" s="46" t="str">
        <f t="shared" ref="G157:G171" si="25">IF(J156&gt;1,(I157-H157),"")</f>
        <v/>
      </c>
      <c r="H157" s="46" t="str">
        <f t="shared" ref="H157:H171" si="26">IF(J156&gt;1,IPMT($D$24,1,$D$25,-J156),"")</f>
        <v/>
      </c>
      <c r="I157" s="47" t="str">
        <f t="shared" ref="I157:I171" si="27">IF(J156&gt;1,$D$26,"")</f>
        <v/>
      </c>
      <c r="J157" s="48">
        <f t="shared" si="24"/>
        <v>0</v>
      </c>
      <c r="L157" s="44" t="str">
        <f t="shared" ref="L157:L171" si="28">IF(J156&lt;1,"",L156+1)</f>
        <v/>
      </c>
      <c r="M157" s="7"/>
    </row>
    <row r="158" spans="2:13" ht="12.75" hidden="1" outlineLevel="1" thickBot="1" x14ac:dyDescent="0.3">
      <c r="B158" s="6"/>
      <c r="F158" s="45"/>
      <c r="G158" s="46" t="str">
        <f t="shared" si="25"/>
        <v/>
      </c>
      <c r="H158" s="46" t="str">
        <f t="shared" si="26"/>
        <v/>
      </c>
      <c r="I158" s="47" t="str">
        <f t="shared" si="27"/>
        <v/>
      </c>
      <c r="J158" s="48">
        <f t="shared" si="24"/>
        <v>0</v>
      </c>
      <c r="L158" s="44" t="str">
        <f t="shared" si="28"/>
        <v/>
      </c>
      <c r="M158" s="7"/>
    </row>
    <row r="159" spans="2:13" ht="12.75" collapsed="1" thickBot="1" x14ac:dyDescent="0.3">
      <c r="B159" s="6"/>
      <c r="F159" s="41" t="s">
        <v>105</v>
      </c>
      <c r="G159" s="51" t="str">
        <f t="shared" si="25"/>
        <v/>
      </c>
      <c r="H159" s="51" t="str">
        <f t="shared" si="26"/>
        <v/>
      </c>
      <c r="I159" s="52" t="str">
        <f t="shared" si="27"/>
        <v/>
      </c>
      <c r="J159" s="53">
        <f t="shared" si="24"/>
        <v>0</v>
      </c>
      <c r="L159" s="44" t="str">
        <f t="shared" si="28"/>
        <v/>
      </c>
      <c r="M159" s="7"/>
    </row>
    <row r="160" spans="2:13" hidden="1" outlineLevel="1" collapsed="1" x14ac:dyDescent="0.25">
      <c r="B160" s="6"/>
      <c r="F160" s="41" t="s">
        <v>106</v>
      </c>
      <c r="G160" s="42" t="str">
        <f t="shared" si="25"/>
        <v/>
      </c>
      <c r="H160" s="42" t="str">
        <f t="shared" si="26"/>
        <v/>
      </c>
      <c r="I160" s="54" t="str">
        <f t="shared" si="27"/>
        <v/>
      </c>
      <c r="J160" s="55">
        <f t="shared" si="24"/>
        <v>0</v>
      </c>
      <c r="L160" s="44" t="str">
        <f t="shared" si="28"/>
        <v/>
      </c>
      <c r="M160" s="7"/>
    </row>
    <row r="161" spans="2:13" hidden="1" outlineLevel="1" x14ac:dyDescent="0.25">
      <c r="B161" s="6"/>
      <c r="F161" s="45"/>
      <c r="G161" s="14" t="str">
        <f t="shared" si="25"/>
        <v/>
      </c>
      <c r="H161" s="14" t="str">
        <f t="shared" si="26"/>
        <v/>
      </c>
      <c r="I161" s="18" t="str">
        <f t="shared" si="27"/>
        <v/>
      </c>
      <c r="J161" s="16">
        <f t="shared" si="24"/>
        <v>0</v>
      </c>
      <c r="L161" s="44" t="str">
        <f t="shared" si="28"/>
        <v/>
      </c>
      <c r="M161" s="7"/>
    </row>
    <row r="162" spans="2:13" hidden="1" outlineLevel="1" x14ac:dyDescent="0.25">
      <c r="B162" s="6"/>
      <c r="F162" s="45"/>
      <c r="G162" s="14" t="str">
        <f t="shared" si="25"/>
        <v/>
      </c>
      <c r="H162" s="14" t="str">
        <f t="shared" si="26"/>
        <v/>
      </c>
      <c r="I162" s="18" t="str">
        <f t="shared" si="27"/>
        <v/>
      </c>
      <c r="J162" s="16">
        <f t="shared" si="24"/>
        <v>0</v>
      </c>
      <c r="L162" s="44" t="str">
        <f t="shared" si="28"/>
        <v/>
      </c>
      <c r="M162" s="7"/>
    </row>
    <row r="163" spans="2:13" hidden="1" outlineLevel="1" x14ac:dyDescent="0.25">
      <c r="B163" s="6"/>
      <c r="F163" s="45"/>
      <c r="G163" s="14" t="str">
        <f t="shared" si="25"/>
        <v/>
      </c>
      <c r="H163" s="14" t="str">
        <f t="shared" si="26"/>
        <v/>
      </c>
      <c r="I163" s="18" t="str">
        <f t="shared" si="27"/>
        <v/>
      </c>
      <c r="J163" s="16">
        <f t="shared" si="24"/>
        <v>0</v>
      </c>
      <c r="L163" s="44" t="str">
        <f t="shared" si="28"/>
        <v/>
      </c>
      <c r="M163" s="7"/>
    </row>
    <row r="164" spans="2:13" hidden="1" outlineLevel="1" x14ac:dyDescent="0.25">
      <c r="B164" s="6"/>
      <c r="F164" s="45"/>
      <c r="G164" s="14" t="str">
        <f t="shared" si="25"/>
        <v/>
      </c>
      <c r="H164" s="14" t="str">
        <f t="shared" si="26"/>
        <v/>
      </c>
      <c r="I164" s="18" t="str">
        <f t="shared" si="27"/>
        <v/>
      </c>
      <c r="J164" s="16">
        <f t="shared" si="24"/>
        <v>0</v>
      </c>
      <c r="L164" s="44" t="str">
        <f t="shared" si="28"/>
        <v/>
      </c>
      <c r="M164" s="7"/>
    </row>
    <row r="165" spans="2:13" hidden="1" outlineLevel="1" x14ac:dyDescent="0.25">
      <c r="B165" s="6"/>
      <c r="F165" s="45"/>
      <c r="G165" s="14" t="str">
        <f t="shared" si="25"/>
        <v/>
      </c>
      <c r="H165" s="14" t="str">
        <f t="shared" si="26"/>
        <v/>
      </c>
      <c r="I165" s="18" t="str">
        <f t="shared" si="27"/>
        <v/>
      </c>
      <c r="J165" s="16">
        <f t="shared" si="24"/>
        <v>0</v>
      </c>
      <c r="L165" s="44" t="str">
        <f t="shared" si="28"/>
        <v/>
      </c>
      <c r="M165" s="7"/>
    </row>
    <row r="166" spans="2:13" hidden="1" outlineLevel="1" x14ac:dyDescent="0.25">
      <c r="B166" s="6"/>
      <c r="F166" s="45"/>
      <c r="G166" s="14" t="str">
        <f t="shared" si="25"/>
        <v/>
      </c>
      <c r="H166" s="14" t="str">
        <f t="shared" si="26"/>
        <v/>
      </c>
      <c r="I166" s="18" t="str">
        <f t="shared" si="27"/>
        <v/>
      </c>
      <c r="J166" s="16">
        <f t="shared" si="24"/>
        <v>0</v>
      </c>
      <c r="L166" s="44" t="str">
        <f t="shared" si="28"/>
        <v/>
      </c>
      <c r="M166" s="7"/>
    </row>
    <row r="167" spans="2:13" hidden="1" outlineLevel="1" x14ac:dyDescent="0.25">
      <c r="B167" s="6"/>
      <c r="F167" s="45"/>
      <c r="G167" s="14" t="str">
        <f t="shared" si="25"/>
        <v/>
      </c>
      <c r="H167" s="14" t="str">
        <f t="shared" si="26"/>
        <v/>
      </c>
      <c r="I167" s="18" t="str">
        <f t="shared" si="27"/>
        <v/>
      </c>
      <c r="J167" s="16">
        <f t="shared" si="24"/>
        <v>0</v>
      </c>
      <c r="L167" s="44" t="str">
        <f t="shared" si="28"/>
        <v/>
      </c>
      <c r="M167" s="7"/>
    </row>
    <row r="168" spans="2:13" hidden="1" outlineLevel="1" x14ac:dyDescent="0.25">
      <c r="B168" s="6"/>
      <c r="F168" s="45"/>
      <c r="G168" s="14" t="str">
        <f t="shared" si="25"/>
        <v/>
      </c>
      <c r="H168" s="14" t="str">
        <f t="shared" si="26"/>
        <v/>
      </c>
      <c r="I168" s="18" t="str">
        <f t="shared" si="27"/>
        <v/>
      </c>
      <c r="J168" s="16">
        <f t="shared" si="24"/>
        <v>0</v>
      </c>
      <c r="L168" s="44" t="str">
        <f t="shared" si="28"/>
        <v/>
      </c>
      <c r="M168" s="7"/>
    </row>
    <row r="169" spans="2:13" hidden="1" outlineLevel="1" x14ac:dyDescent="0.25">
      <c r="B169" s="6"/>
      <c r="F169" s="45"/>
      <c r="G169" s="14" t="str">
        <f t="shared" si="25"/>
        <v/>
      </c>
      <c r="H169" s="14" t="str">
        <f t="shared" si="26"/>
        <v/>
      </c>
      <c r="I169" s="18" t="str">
        <f t="shared" si="27"/>
        <v/>
      </c>
      <c r="J169" s="16">
        <f t="shared" si="24"/>
        <v>0</v>
      </c>
      <c r="L169" s="44" t="str">
        <f t="shared" si="28"/>
        <v/>
      </c>
      <c r="M169" s="7"/>
    </row>
    <row r="170" spans="2:13" ht="12.75" hidden="1" outlineLevel="1" thickBot="1" x14ac:dyDescent="0.3">
      <c r="B170" s="6"/>
      <c r="F170" s="45"/>
      <c r="G170" s="14" t="str">
        <f t="shared" si="25"/>
        <v/>
      </c>
      <c r="H170" s="14" t="str">
        <f t="shared" si="26"/>
        <v/>
      </c>
      <c r="I170" s="18" t="str">
        <f t="shared" si="27"/>
        <v/>
      </c>
      <c r="J170" s="16">
        <f t="shared" si="24"/>
        <v>0</v>
      </c>
      <c r="L170" s="44" t="str">
        <f t="shared" si="28"/>
        <v/>
      </c>
      <c r="M170" s="7"/>
    </row>
    <row r="171" spans="2:13" ht="12.75" collapsed="1" thickBot="1" x14ac:dyDescent="0.3">
      <c r="B171" s="6"/>
      <c r="F171" s="41" t="s">
        <v>106</v>
      </c>
      <c r="G171" s="58" t="str">
        <f t="shared" si="25"/>
        <v/>
      </c>
      <c r="H171" s="58" t="str">
        <f t="shared" si="26"/>
        <v/>
      </c>
      <c r="I171" s="59" t="str">
        <f t="shared" si="27"/>
        <v/>
      </c>
      <c r="J171" s="60">
        <f t="shared" si="24"/>
        <v>0</v>
      </c>
      <c r="L171" s="44" t="str">
        <f t="shared" si="28"/>
        <v/>
      </c>
      <c r="M171" s="7"/>
    </row>
    <row r="172" spans="2:13" ht="12.75" collapsed="1" thickBot="1" x14ac:dyDescent="0.3">
      <c r="B172" s="6"/>
      <c r="F172" s="8" t="s">
        <v>23</v>
      </c>
      <c r="G172" s="21">
        <f>SUM(G28:G171)</f>
        <v>153252887.53267187</v>
      </c>
      <c r="H172" s="21">
        <f t="shared" ref="H172:I172" si="29">SUM(H28:H171)</f>
        <v>85863420.861415803</v>
      </c>
      <c r="I172" s="21">
        <f t="shared" si="29"/>
        <v>239116308.39408809</v>
      </c>
      <c r="J172" s="22"/>
      <c r="M172" s="7"/>
    </row>
    <row r="173" spans="2:13" x14ac:dyDescent="0.25">
      <c r="B173" s="6"/>
      <c r="M173" s="7"/>
    </row>
    <row r="174" spans="2:13" ht="49.5" customHeight="1" x14ac:dyDescent="0.25">
      <c r="B174" s="6"/>
      <c r="C174" s="159" t="s">
        <v>117</v>
      </c>
      <c r="D174" s="159"/>
      <c r="E174" s="159"/>
      <c r="F174" s="159"/>
      <c r="G174" s="159"/>
      <c r="H174" s="159"/>
      <c r="I174" s="159"/>
      <c r="J174" s="159"/>
      <c r="K174" s="159"/>
      <c r="L174" s="159"/>
      <c r="M174" s="61"/>
    </row>
    <row r="175" spans="2:13" ht="29.45" customHeight="1" x14ac:dyDescent="0.25">
      <c r="B175" s="6"/>
      <c r="C175" s="130" t="s">
        <v>24</v>
      </c>
      <c r="D175" s="130"/>
      <c r="E175" s="130"/>
      <c r="F175" s="130"/>
      <c r="G175" s="130"/>
      <c r="H175" s="130"/>
      <c r="I175" s="130"/>
      <c r="J175" s="130"/>
      <c r="K175" s="130"/>
      <c r="L175" s="130"/>
      <c r="M175" s="61"/>
    </row>
    <row r="176" spans="2:13" ht="12.75" thickBot="1" x14ac:dyDescent="0.3">
      <c r="B176" s="62"/>
      <c r="C176" s="63"/>
      <c r="D176" s="63"/>
      <c r="E176" s="63"/>
      <c r="F176" s="63"/>
      <c r="G176" s="63"/>
      <c r="H176" s="63"/>
      <c r="I176" s="63"/>
      <c r="J176" s="127" t="s">
        <v>118</v>
      </c>
      <c r="K176" s="127"/>
      <c r="L176" s="127"/>
      <c r="M176" s="128"/>
    </row>
    <row r="177" spans="14:15" x14ac:dyDescent="0.25">
      <c r="N177" s="64"/>
      <c r="O177" s="64"/>
    </row>
    <row r="178" spans="14:15" hidden="1" x14ac:dyDescent="0.25">
      <c r="N178" s="65"/>
      <c r="O178" s="65"/>
    </row>
  </sheetData>
  <sheetProtection algorithmName="SHA-512" hashValue="959bWTRQGr/SRzEK0r08cvSwHo2GZgIUiMfDerglyhqO1zQLon+ItqO9W2gKUWQ7xfb17IsCHbleIXjWHcJSTQ==" saltValue="y/WM7WbsW1rA0XXbBPEVaQ==" spinCount="100000" sheet="1" objects="1" scenarios="1"/>
  <mergeCells count="10">
    <mergeCell ref="J176:M176"/>
    <mergeCell ref="C3:L3"/>
    <mergeCell ref="C4:L4"/>
    <mergeCell ref="C174:L174"/>
    <mergeCell ref="C175:L175"/>
    <mergeCell ref="F26:G26"/>
    <mergeCell ref="F24:J24"/>
    <mergeCell ref="F6:L6"/>
    <mergeCell ref="C18:D19"/>
    <mergeCell ref="F20:L21"/>
  </mergeCells>
  <phoneticPr fontId="3" type="noConversion"/>
  <conditionalFormatting sqref="E11 D13">
    <cfRule type="cellIs" dxfId="1" priority="3" operator="greaterThan">
      <formula>0.95</formula>
    </cfRule>
  </conditionalFormatting>
  <dataValidations count="2">
    <dataValidation type="list" allowBlank="1" showInputMessage="1" showErrorMessage="1" sqref="Q31" xr:uid="{71C8497C-2107-4962-B4D9-7201A64F7C3C}">
      <formula1>$S$36:$T$36</formula1>
    </dataValidation>
    <dataValidation type="list" errorStyle="warning" allowBlank="1" showInputMessage="1" showErrorMessage="1" errorTitle="Advertencia" error="Seleccionar solo los campos que están en la lista desplegable. " sqref="E9 D11" xr:uid="{7B067557-CF16-4F9C-A26D-E8429019F994}">
      <formula1>$Q$34:$Q$77</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BA6D-E6C6-445F-8005-30D98D33C805}">
  <dimension ref="A1:M117"/>
  <sheetViews>
    <sheetView showGridLines="0" zoomScaleNormal="100" workbookViewId="0">
      <selection activeCell="D9" sqref="D9"/>
    </sheetView>
  </sheetViews>
  <sheetFormatPr baseColWidth="10" defaultColWidth="0" defaultRowHeight="12" zeroHeight="1" x14ac:dyDescent="0.25"/>
  <cols>
    <col min="1" max="1" width="4.28515625" style="1" customWidth="1"/>
    <col min="2" max="2" width="7.28515625" style="1" customWidth="1"/>
    <col min="3" max="3" width="23.28515625" style="1" customWidth="1"/>
    <col min="4" max="4" width="17" style="1" bestFit="1" customWidth="1"/>
    <col min="5" max="5" width="9.5703125" style="1" customWidth="1"/>
    <col min="6" max="6" width="11.5703125" style="1" bestFit="1" customWidth="1"/>
    <col min="7" max="7" width="17.85546875" style="1" bestFit="1" customWidth="1"/>
    <col min="8" max="8" width="9.42578125" style="1" bestFit="1" customWidth="1"/>
    <col min="9" max="9" width="18.140625" style="1" bestFit="1" customWidth="1"/>
    <col min="10" max="10" width="9.42578125" style="1" bestFit="1" customWidth="1"/>
    <col min="11" max="11" width="14.140625" style="1" bestFit="1" customWidth="1"/>
    <col min="12" max="12" width="7.28515625" style="1" customWidth="1"/>
    <col min="13" max="13" width="3.7109375" style="1" customWidth="1"/>
    <col min="14" max="16384" width="10.85546875" style="1" hidden="1"/>
  </cols>
  <sheetData>
    <row r="1" spans="1:13" ht="12.75" thickBot="1" x14ac:dyDescent="0.3">
      <c r="A1" s="2"/>
      <c r="B1" s="2"/>
      <c r="C1" s="2"/>
      <c r="D1" s="2"/>
      <c r="E1" s="2"/>
      <c r="F1" s="2"/>
      <c r="G1" s="2"/>
      <c r="H1" s="2"/>
      <c r="I1" s="2"/>
      <c r="J1" s="2"/>
      <c r="K1" s="2"/>
      <c r="L1" s="2"/>
      <c r="M1" s="2"/>
    </row>
    <row r="2" spans="1:13" ht="12.75" thickBot="1" x14ac:dyDescent="0.3">
      <c r="A2" s="2"/>
      <c r="B2" s="3"/>
      <c r="C2" s="4"/>
      <c r="D2" s="4"/>
      <c r="E2" s="4"/>
      <c r="F2" s="4"/>
      <c r="G2" s="4"/>
      <c r="H2" s="4"/>
      <c r="I2" s="4"/>
      <c r="J2" s="4"/>
      <c r="K2" s="4"/>
      <c r="L2" s="5"/>
      <c r="M2" s="2"/>
    </row>
    <row r="3" spans="1:13" x14ac:dyDescent="0.25">
      <c r="A3" s="2"/>
      <c r="B3" s="6"/>
      <c r="C3" s="2"/>
      <c r="D3" s="2"/>
      <c r="E3" s="2"/>
      <c r="F3" s="143" t="s">
        <v>17</v>
      </c>
      <c r="G3" s="144"/>
      <c r="H3" s="144"/>
      <c r="I3" s="144"/>
      <c r="J3" s="144"/>
      <c r="K3" s="145"/>
      <c r="L3" s="7"/>
      <c r="M3" s="2"/>
    </row>
    <row r="4" spans="1:13" ht="12.75" thickBot="1" x14ac:dyDescent="0.3">
      <c r="A4" s="2"/>
      <c r="B4" s="6"/>
      <c r="E4" s="2"/>
      <c r="F4" s="146" t="s">
        <v>84</v>
      </c>
      <c r="G4" s="147"/>
      <c r="H4" s="147"/>
      <c r="I4" s="147"/>
      <c r="J4" s="147"/>
      <c r="K4" s="148"/>
      <c r="L4" s="7"/>
      <c r="M4" s="2"/>
    </row>
    <row r="5" spans="1:13" ht="12.75" thickBot="1" x14ac:dyDescent="0.3">
      <c r="A5" s="2"/>
      <c r="B5" s="6"/>
      <c r="E5" s="2"/>
      <c r="F5" s="2"/>
      <c r="G5" s="2"/>
      <c r="H5" s="2"/>
      <c r="I5" s="2"/>
      <c r="J5" s="2"/>
      <c r="K5" s="2"/>
      <c r="L5" s="7"/>
      <c r="M5" s="2"/>
    </row>
    <row r="6" spans="1:13" x14ac:dyDescent="0.25">
      <c r="A6" s="2"/>
      <c r="B6" s="6"/>
      <c r="E6" s="2"/>
      <c r="F6" s="149" t="s">
        <v>83</v>
      </c>
      <c r="G6" s="150"/>
      <c r="H6" s="151"/>
      <c r="I6" s="151"/>
      <c r="J6" s="151"/>
      <c r="K6" s="152"/>
      <c r="L6" s="7"/>
      <c r="M6" s="2"/>
    </row>
    <row r="7" spans="1:13" ht="12.75" thickBot="1" x14ac:dyDescent="0.3">
      <c r="A7" s="2"/>
      <c r="B7" s="6"/>
      <c r="E7" s="2"/>
      <c r="F7" s="153" t="s">
        <v>0</v>
      </c>
      <c r="G7" s="154"/>
      <c r="H7" s="155"/>
      <c r="I7" s="155"/>
      <c r="J7" s="155"/>
      <c r="K7" s="156"/>
      <c r="L7" s="7"/>
      <c r="M7" s="2"/>
    </row>
    <row r="8" spans="1:13" ht="26.45" customHeight="1" thickBot="1" x14ac:dyDescent="0.3">
      <c r="A8" s="2"/>
      <c r="B8" s="6"/>
      <c r="C8" s="157" t="s">
        <v>89</v>
      </c>
      <c r="D8" s="158"/>
      <c r="E8" s="2"/>
      <c r="F8" s="84" t="s">
        <v>18</v>
      </c>
      <c r="G8" s="85" t="s">
        <v>91</v>
      </c>
      <c r="H8" s="85" t="s">
        <v>19</v>
      </c>
      <c r="I8" s="85" t="s">
        <v>20</v>
      </c>
      <c r="J8" s="85" t="s">
        <v>21</v>
      </c>
      <c r="K8" s="86" t="s">
        <v>22</v>
      </c>
      <c r="L8" s="7"/>
      <c r="M8" s="2"/>
    </row>
    <row r="9" spans="1:13" x14ac:dyDescent="0.25">
      <c r="A9" s="2"/>
      <c r="B9" s="6"/>
      <c r="C9" s="97" t="s">
        <v>9</v>
      </c>
      <c r="D9" s="98">
        <f>Simulador!D10</f>
        <v>0.01</v>
      </c>
      <c r="E9" s="2"/>
      <c r="F9" s="87"/>
      <c r="G9" s="88"/>
      <c r="H9" s="42"/>
      <c r="I9" s="42"/>
      <c r="J9" s="42"/>
      <c r="K9" s="43">
        <f>D14</f>
        <v>10206800</v>
      </c>
      <c r="L9" s="7"/>
      <c r="M9" s="2"/>
    </row>
    <row r="10" spans="1:13" x14ac:dyDescent="0.25">
      <c r="A10" s="2"/>
      <c r="B10" s="6"/>
      <c r="C10" s="97" t="s">
        <v>10</v>
      </c>
      <c r="D10" s="98" t="str">
        <f>Simulador!D11</f>
        <v>Licenciatura en Artes</v>
      </c>
      <c r="E10" s="2"/>
      <c r="F10" s="13">
        <f t="shared" ref="F10:F14" si="0">IF(K9&lt;1,"",F9+1)</f>
        <v>1</v>
      </c>
      <c r="G10" s="14">
        <f>D13-H10</f>
        <v>23475640</v>
      </c>
      <c r="H10" s="14">
        <f>$D$14/$D$16</f>
        <v>2041360</v>
      </c>
      <c r="I10" s="14">
        <f>IF(K9&lt;1,"",($D$13*$D$9))</f>
        <v>255170</v>
      </c>
      <c r="J10" s="15">
        <f>H10+I10</f>
        <v>2296530</v>
      </c>
      <c r="K10" s="16">
        <f t="shared" ref="K10:K14" si="1">IF(F10="",0,(K9-H10))</f>
        <v>8165440</v>
      </c>
      <c r="L10" s="7"/>
      <c r="M10" s="2"/>
    </row>
    <row r="11" spans="1:13" x14ac:dyDescent="0.25">
      <c r="A11" s="2"/>
      <c r="B11" s="6"/>
      <c r="C11" s="97" t="s">
        <v>14</v>
      </c>
      <c r="D11" s="99">
        <f>Simulador!D12</f>
        <v>26860000</v>
      </c>
      <c r="E11" s="2"/>
      <c r="F11" s="13">
        <f t="shared" si="0"/>
        <v>2</v>
      </c>
      <c r="G11" s="14">
        <f>G10-H11</f>
        <v>21434280</v>
      </c>
      <c r="H11" s="14">
        <f>$D$14/$D$16</f>
        <v>2041360</v>
      </c>
      <c r="I11" s="14">
        <f>IF(K10&lt;1,"",(G10*$D$9))</f>
        <v>234756.4</v>
      </c>
      <c r="J11" s="15">
        <f t="shared" ref="J11:J14" si="2">H11+I11</f>
        <v>2276116.4</v>
      </c>
      <c r="K11" s="16">
        <f t="shared" si="1"/>
        <v>6124080</v>
      </c>
      <c r="L11" s="7"/>
      <c r="M11" s="2"/>
    </row>
    <row r="12" spans="1:13" x14ac:dyDescent="0.25">
      <c r="A12" s="2"/>
      <c r="B12" s="6"/>
      <c r="C12" s="97" t="s">
        <v>15</v>
      </c>
      <c r="D12" s="39">
        <f>Simulador!D13</f>
        <v>0.95</v>
      </c>
      <c r="E12" s="2"/>
      <c r="F12" s="13">
        <f t="shared" si="0"/>
        <v>3</v>
      </c>
      <c r="G12" s="14">
        <f>G11-H12</f>
        <v>19392920</v>
      </c>
      <c r="H12" s="14">
        <f>$D$14/$D$16</f>
        <v>2041360</v>
      </c>
      <c r="I12" s="14">
        <f>IF(K11&lt;1,"",(G11*$D$9))</f>
        <v>214342.80000000002</v>
      </c>
      <c r="J12" s="15">
        <f t="shared" si="2"/>
        <v>2255702.7999999998</v>
      </c>
      <c r="K12" s="16">
        <f t="shared" si="1"/>
        <v>4082720</v>
      </c>
      <c r="L12" s="7"/>
      <c r="M12" s="2"/>
    </row>
    <row r="13" spans="1:13" x14ac:dyDescent="0.25">
      <c r="A13" s="2"/>
      <c r="B13" s="6"/>
      <c r="C13" s="97" t="s">
        <v>90</v>
      </c>
      <c r="D13" s="99">
        <f>Simulador!D14</f>
        <v>25517000</v>
      </c>
      <c r="E13" s="2"/>
      <c r="F13" s="13">
        <f t="shared" si="0"/>
        <v>4</v>
      </c>
      <c r="G13" s="14">
        <f>G12-H13</f>
        <v>17351560</v>
      </c>
      <c r="H13" s="14">
        <f>$D$14/$D$16</f>
        <v>2041360</v>
      </c>
      <c r="I13" s="14">
        <f>IF(K12&lt;1,"",(G12*$D$9))</f>
        <v>193929.2</v>
      </c>
      <c r="J13" s="15">
        <f t="shared" si="2"/>
        <v>2235289.2000000002</v>
      </c>
      <c r="K13" s="16">
        <f t="shared" si="1"/>
        <v>2041360</v>
      </c>
      <c r="L13" s="7"/>
      <c r="M13" s="2"/>
    </row>
    <row r="14" spans="1:13" x14ac:dyDescent="0.25">
      <c r="A14" s="2"/>
      <c r="B14" s="6"/>
      <c r="C14" s="97" t="s">
        <v>81</v>
      </c>
      <c r="D14" s="99">
        <f>Simulador!D15</f>
        <v>10206800</v>
      </c>
      <c r="E14" s="2"/>
      <c r="F14" s="13">
        <f t="shared" si="0"/>
        <v>5</v>
      </c>
      <c r="G14" s="14">
        <f>G13-H14</f>
        <v>15310200</v>
      </c>
      <c r="H14" s="14">
        <f>$D$14/$D$16</f>
        <v>2041360</v>
      </c>
      <c r="I14" s="14">
        <f>IF(K13&lt;1,"",(G13*$D$9))</f>
        <v>173515.6</v>
      </c>
      <c r="J14" s="15">
        <f t="shared" si="2"/>
        <v>2214875.6</v>
      </c>
      <c r="K14" s="16">
        <f t="shared" si="1"/>
        <v>0</v>
      </c>
      <c r="L14" s="7"/>
      <c r="M14" s="2"/>
    </row>
    <row r="15" spans="1:13" ht="12.75" thickBot="1" x14ac:dyDescent="0.3">
      <c r="A15" s="2"/>
      <c r="B15" s="6"/>
      <c r="C15" s="97" t="s">
        <v>82</v>
      </c>
      <c r="D15" s="99">
        <f>Simulador!D16</f>
        <v>15310200</v>
      </c>
      <c r="E15" s="2"/>
      <c r="F15" s="89" t="s">
        <v>23</v>
      </c>
      <c r="G15" s="90"/>
      <c r="H15" s="91">
        <f>SUM(H10:H14)</f>
        <v>10206800</v>
      </c>
      <c r="I15" s="91">
        <f>SUM(I10:I14)</f>
        <v>1071714.0000000002</v>
      </c>
      <c r="J15" s="91">
        <f>SUM(J10:J14)</f>
        <v>11278514</v>
      </c>
      <c r="K15" s="2"/>
      <c r="L15" s="7"/>
      <c r="M15" s="2"/>
    </row>
    <row r="16" spans="1:13" ht="12.75" thickBot="1" x14ac:dyDescent="0.3">
      <c r="A16" s="2"/>
      <c r="B16" s="6"/>
      <c r="C16" s="100" t="s">
        <v>16</v>
      </c>
      <c r="D16" s="101">
        <f>Simulador!D17</f>
        <v>5</v>
      </c>
      <c r="E16" s="23"/>
      <c r="F16" s="153" t="s">
        <v>1</v>
      </c>
      <c r="G16" s="154"/>
      <c r="H16" s="155"/>
      <c r="I16" s="155"/>
      <c r="J16" s="155"/>
      <c r="K16" s="156"/>
      <c r="L16" s="7"/>
      <c r="M16" s="2"/>
    </row>
    <row r="17" spans="1:13" ht="12.75" thickBot="1" x14ac:dyDescent="0.3">
      <c r="A17" s="2"/>
      <c r="B17" s="6"/>
      <c r="E17" s="23"/>
      <c r="F17" s="84" t="s">
        <v>18</v>
      </c>
      <c r="G17" s="85" t="s">
        <v>91</v>
      </c>
      <c r="H17" s="85" t="s">
        <v>19</v>
      </c>
      <c r="I17" s="85" t="s">
        <v>20</v>
      </c>
      <c r="J17" s="85" t="s">
        <v>21</v>
      </c>
      <c r="K17" s="86" t="s">
        <v>22</v>
      </c>
      <c r="L17" s="7"/>
      <c r="M17" s="2"/>
    </row>
    <row r="18" spans="1:13" x14ac:dyDescent="0.25">
      <c r="B18" s="92"/>
      <c r="F18" s="87"/>
      <c r="G18" s="88"/>
      <c r="H18" s="42"/>
      <c r="I18" s="42"/>
      <c r="J18" s="42"/>
      <c r="K18" s="43">
        <f>Simulador!I9</f>
        <v>10206800</v>
      </c>
      <c r="L18" s="93"/>
    </row>
    <row r="19" spans="1:13" x14ac:dyDescent="0.25">
      <c r="B19" s="92"/>
      <c r="F19" s="13">
        <f t="shared" ref="F19:F23" si="3">IF(K18&lt;1,"",F18+1)</f>
        <v>1</v>
      </c>
      <c r="G19" s="14">
        <f>+G14+Simulador!H9</f>
        <v>40827200</v>
      </c>
      <c r="H19" s="14">
        <f>$K$18/$D$16</f>
        <v>2041360</v>
      </c>
      <c r="I19" s="14">
        <f>IF(K18&lt;1,"",(G19*$D$9))</f>
        <v>408272</v>
      </c>
      <c r="J19" s="15">
        <f>H19+I19</f>
        <v>2449632</v>
      </c>
      <c r="K19" s="16">
        <f t="shared" ref="K19:K23" si="4">IF(F19="",0,(K18-H19))</f>
        <v>8165440</v>
      </c>
      <c r="L19" s="93"/>
    </row>
    <row r="20" spans="1:13" x14ac:dyDescent="0.25">
      <c r="B20" s="92"/>
      <c r="F20" s="13">
        <f t="shared" si="3"/>
        <v>2</v>
      </c>
      <c r="G20" s="14">
        <f>G19-H20</f>
        <v>38785840</v>
      </c>
      <c r="H20" s="14">
        <f>$K$18/$D$16</f>
        <v>2041360</v>
      </c>
      <c r="I20" s="14">
        <f>IF(K19&lt;1,"",(G20*$D$9))</f>
        <v>387858.4</v>
      </c>
      <c r="J20" s="15">
        <f t="shared" ref="J20:J23" si="5">H20+I20</f>
        <v>2429218.4</v>
      </c>
      <c r="K20" s="16">
        <f t="shared" si="4"/>
        <v>6124080</v>
      </c>
      <c r="L20" s="93"/>
    </row>
    <row r="21" spans="1:13" x14ac:dyDescent="0.25">
      <c r="B21" s="92"/>
      <c r="F21" s="13">
        <f t="shared" si="3"/>
        <v>3</v>
      </c>
      <c r="G21" s="14">
        <f>G20-H21</f>
        <v>36744480</v>
      </c>
      <c r="H21" s="14">
        <f>$K$18/$D$16</f>
        <v>2041360</v>
      </c>
      <c r="I21" s="14">
        <f>IF(K20&lt;1,"",(G21*$D$9))</f>
        <v>367444.8</v>
      </c>
      <c r="J21" s="15">
        <f t="shared" si="5"/>
        <v>2408804.7999999998</v>
      </c>
      <c r="K21" s="16">
        <f t="shared" si="4"/>
        <v>4082720</v>
      </c>
      <c r="L21" s="93"/>
    </row>
    <row r="22" spans="1:13" x14ac:dyDescent="0.25">
      <c r="B22" s="92"/>
      <c r="F22" s="13">
        <f t="shared" si="3"/>
        <v>4</v>
      </c>
      <c r="G22" s="14">
        <f>G21-H22</f>
        <v>34703120</v>
      </c>
      <c r="H22" s="14">
        <f>$K$18/$D$16</f>
        <v>2041360</v>
      </c>
      <c r="I22" s="14">
        <f>IF(K21&lt;1,"",(G22*$D$9))</f>
        <v>347031.2</v>
      </c>
      <c r="J22" s="15">
        <f t="shared" si="5"/>
        <v>2388391.2000000002</v>
      </c>
      <c r="K22" s="16">
        <f t="shared" si="4"/>
        <v>2041360</v>
      </c>
      <c r="L22" s="93"/>
    </row>
    <row r="23" spans="1:13" x14ac:dyDescent="0.25">
      <c r="B23" s="92"/>
      <c r="F23" s="13">
        <f t="shared" si="3"/>
        <v>5</v>
      </c>
      <c r="G23" s="14">
        <f>G22-H23</f>
        <v>32661760</v>
      </c>
      <c r="H23" s="14">
        <f>$K$18/$D$16</f>
        <v>2041360</v>
      </c>
      <c r="I23" s="14">
        <f>IF(K22&lt;1,"",(G23*$D$9))</f>
        <v>326617.60000000003</v>
      </c>
      <c r="J23" s="15">
        <f t="shared" si="5"/>
        <v>2367977.6</v>
      </c>
      <c r="K23" s="16">
        <f t="shared" si="4"/>
        <v>0</v>
      </c>
      <c r="L23" s="93"/>
    </row>
    <row r="24" spans="1:13" ht="12.75" thickBot="1" x14ac:dyDescent="0.3">
      <c r="B24" s="92"/>
      <c r="F24" s="89" t="s">
        <v>23</v>
      </c>
      <c r="G24" s="90"/>
      <c r="H24" s="91">
        <f>SUM(H19:H23)</f>
        <v>10206800</v>
      </c>
      <c r="I24" s="91">
        <f>SUM(I19:I23)</f>
        <v>1837224</v>
      </c>
      <c r="J24" s="91">
        <f>SUM(J19:J23)</f>
        <v>12044024</v>
      </c>
      <c r="K24" s="2"/>
      <c r="L24" s="93"/>
    </row>
    <row r="25" spans="1:13" ht="12.75" thickBot="1" x14ac:dyDescent="0.3">
      <c r="B25" s="92"/>
      <c r="F25" s="153" t="s">
        <v>2</v>
      </c>
      <c r="G25" s="154"/>
      <c r="H25" s="155"/>
      <c r="I25" s="155"/>
      <c r="J25" s="155"/>
      <c r="K25" s="156"/>
      <c r="L25" s="93"/>
    </row>
    <row r="26" spans="1:13" ht="12.75" thickBot="1" x14ac:dyDescent="0.3">
      <c r="B26" s="92"/>
      <c r="F26" s="84" t="s">
        <v>18</v>
      </c>
      <c r="G26" s="85" t="s">
        <v>91</v>
      </c>
      <c r="H26" s="85" t="s">
        <v>19</v>
      </c>
      <c r="I26" s="85" t="s">
        <v>20</v>
      </c>
      <c r="J26" s="85" t="s">
        <v>21</v>
      </c>
      <c r="K26" s="86" t="s">
        <v>22</v>
      </c>
      <c r="L26" s="93"/>
    </row>
    <row r="27" spans="1:13" x14ac:dyDescent="0.25">
      <c r="B27" s="92"/>
      <c r="F27" s="87"/>
      <c r="G27" s="88"/>
      <c r="H27" s="42"/>
      <c r="I27" s="42"/>
      <c r="J27" s="42"/>
      <c r="K27" s="43">
        <f>Simulador!I10</f>
        <v>10737553.600000001</v>
      </c>
      <c r="L27" s="93"/>
    </row>
    <row r="28" spans="1:13" x14ac:dyDescent="0.25">
      <c r="B28" s="92"/>
      <c r="F28" s="13">
        <f t="shared" ref="F28:F32" si="6">IF(K27&lt;1,"",F27+1)</f>
        <v>1</v>
      </c>
      <c r="G28" s="14">
        <f>G23+Simulador!H10</f>
        <v>59505644</v>
      </c>
      <c r="H28" s="14">
        <f>$K$18/$D$16</f>
        <v>2041360</v>
      </c>
      <c r="I28" s="14">
        <f>IF(K27&lt;1,"",(G28*$D$9))</f>
        <v>595056.44000000006</v>
      </c>
      <c r="J28" s="15">
        <f>H28+I28</f>
        <v>2636416.44</v>
      </c>
      <c r="K28" s="16">
        <f t="shared" ref="K28:K32" si="7">IF(F28="",0,(K27-H28))</f>
        <v>8696193.6000000015</v>
      </c>
      <c r="L28" s="93"/>
    </row>
    <row r="29" spans="1:13" x14ac:dyDescent="0.25">
      <c r="B29" s="92"/>
      <c r="F29" s="13">
        <f t="shared" si="6"/>
        <v>2</v>
      </c>
      <c r="G29" s="14">
        <f>G28-H29</f>
        <v>57464284</v>
      </c>
      <c r="H29" s="14">
        <f>$K$18/$D$16</f>
        <v>2041360</v>
      </c>
      <c r="I29" s="14">
        <f>IF(K28&lt;1,"",(G29*$D$9))</f>
        <v>574642.84</v>
      </c>
      <c r="J29" s="15">
        <f t="shared" ref="J29:J32" si="8">H29+I29</f>
        <v>2616002.84</v>
      </c>
      <c r="K29" s="16">
        <f t="shared" si="7"/>
        <v>6654833.6000000015</v>
      </c>
      <c r="L29" s="93"/>
    </row>
    <row r="30" spans="1:13" x14ac:dyDescent="0.25">
      <c r="B30" s="92"/>
      <c r="F30" s="13">
        <f t="shared" si="6"/>
        <v>3</v>
      </c>
      <c r="G30" s="14">
        <f>G29-H30</f>
        <v>55422924</v>
      </c>
      <c r="H30" s="14">
        <f>$K$18/$D$16</f>
        <v>2041360</v>
      </c>
      <c r="I30" s="14">
        <f>IF(K29&lt;1,"",(G30*$D$9))</f>
        <v>554229.24</v>
      </c>
      <c r="J30" s="15">
        <f t="shared" si="8"/>
        <v>2595589.2400000002</v>
      </c>
      <c r="K30" s="16">
        <f t="shared" si="7"/>
        <v>4613473.6000000015</v>
      </c>
      <c r="L30" s="93"/>
    </row>
    <row r="31" spans="1:13" x14ac:dyDescent="0.25">
      <c r="B31" s="92"/>
      <c r="F31" s="13">
        <f t="shared" si="6"/>
        <v>4</v>
      </c>
      <c r="G31" s="14">
        <f>G30-H31</f>
        <v>53381564</v>
      </c>
      <c r="H31" s="14">
        <f>$K$18/$D$16</f>
        <v>2041360</v>
      </c>
      <c r="I31" s="14">
        <f>IF(K30&lt;1,"",(G31*$D$9))</f>
        <v>533815.64</v>
      </c>
      <c r="J31" s="15">
        <f t="shared" si="8"/>
        <v>2575175.64</v>
      </c>
      <c r="K31" s="16">
        <f t="shared" si="7"/>
        <v>2572113.6000000015</v>
      </c>
      <c r="L31" s="93"/>
    </row>
    <row r="32" spans="1:13" x14ac:dyDescent="0.25">
      <c r="B32" s="92"/>
      <c r="F32" s="13">
        <f t="shared" si="6"/>
        <v>5</v>
      </c>
      <c r="G32" s="14">
        <f>G31-H32</f>
        <v>51340204</v>
      </c>
      <c r="H32" s="14">
        <f>$K$18/$D$16</f>
        <v>2041360</v>
      </c>
      <c r="I32" s="14">
        <f>IF(K31&lt;1,"",(G32*$D$9))</f>
        <v>513402.04000000004</v>
      </c>
      <c r="J32" s="15">
        <f t="shared" si="8"/>
        <v>2554762.04</v>
      </c>
      <c r="K32" s="16">
        <f t="shared" si="7"/>
        <v>530753.60000000149</v>
      </c>
      <c r="L32" s="93"/>
    </row>
    <row r="33" spans="2:12" ht="12.75" thickBot="1" x14ac:dyDescent="0.3">
      <c r="B33" s="92"/>
      <c r="F33" s="89" t="s">
        <v>23</v>
      </c>
      <c r="G33" s="90"/>
      <c r="H33" s="91">
        <f>SUM(H28:H32)</f>
        <v>10206800</v>
      </c>
      <c r="I33" s="91">
        <f>SUM(I28:I32)</f>
        <v>2771146.2</v>
      </c>
      <c r="J33" s="91">
        <f>SUM(J28:J32)</f>
        <v>12977946.199999999</v>
      </c>
      <c r="K33" s="2"/>
      <c r="L33" s="93"/>
    </row>
    <row r="34" spans="2:12" ht="12.75" thickBot="1" x14ac:dyDescent="0.3">
      <c r="B34" s="92"/>
      <c r="F34" s="153" t="s">
        <v>3</v>
      </c>
      <c r="G34" s="154"/>
      <c r="H34" s="155"/>
      <c r="I34" s="155"/>
      <c r="J34" s="155"/>
      <c r="K34" s="156"/>
      <c r="L34" s="93"/>
    </row>
    <row r="35" spans="2:12" ht="12.75" thickBot="1" x14ac:dyDescent="0.3">
      <c r="B35" s="92"/>
      <c r="F35" s="84" t="s">
        <v>18</v>
      </c>
      <c r="G35" s="85" t="s">
        <v>91</v>
      </c>
      <c r="H35" s="85" t="s">
        <v>19</v>
      </c>
      <c r="I35" s="85" t="s">
        <v>20</v>
      </c>
      <c r="J35" s="85" t="s">
        <v>21</v>
      </c>
      <c r="K35" s="86" t="s">
        <v>22</v>
      </c>
      <c r="L35" s="93"/>
    </row>
    <row r="36" spans="2:12" x14ac:dyDescent="0.25">
      <c r="B36" s="92"/>
      <c r="F36" s="87"/>
      <c r="G36" s="88"/>
      <c r="H36" s="42"/>
      <c r="I36" s="42"/>
      <c r="J36" s="42"/>
      <c r="K36" s="43">
        <f>Simulador!I11</f>
        <v>10737553.600000001</v>
      </c>
      <c r="L36" s="93"/>
    </row>
    <row r="37" spans="2:12" x14ac:dyDescent="0.25">
      <c r="B37" s="92"/>
      <c r="F37" s="13">
        <f t="shared" ref="F37:F41" si="9">IF(K36&lt;1,"",F36+1)</f>
        <v>1</v>
      </c>
      <c r="G37" s="14">
        <f>G32+Simulador!H11</f>
        <v>78184088</v>
      </c>
      <c r="H37" s="14">
        <f>$K$18/$D$16</f>
        <v>2041360</v>
      </c>
      <c r="I37" s="14">
        <f>IF(K36&lt;1,"",(G37*$D$9))</f>
        <v>781840.88</v>
      </c>
      <c r="J37" s="15">
        <f>H37+I37</f>
        <v>2823200.88</v>
      </c>
      <c r="K37" s="16">
        <f t="shared" ref="K37:K41" si="10">IF(F37="",0,(K36-H37))</f>
        <v>8696193.6000000015</v>
      </c>
      <c r="L37" s="93"/>
    </row>
    <row r="38" spans="2:12" x14ac:dyDescent="0.25">
      <c r="B38" s="92"/>
      <c r="F38" s="13">
        <f t="shared" si="9"/>
        <v>2</v>
      </c>
      <c r="G38" s="14">
        <f>G37-H38</f>
        <v>76142728</v>
      </c>
      <c r="H38" s="14">
        <f>$K$18/$D$16</f>
        <v>2041360</v>
      </c>
      <c r="I38" s="14">
        <f>IF(K37&lt;1,"",(G38*$D$9))</f>
        <v>761427.28</v>
      </c>
      <c r="J38" s="15">
        <f t="shared" ref="J38:J41" si="11">H38+I38</f>
        <v>2802787.2800000003</v>
      </c>
      <c r="K38" s="16">
        <f t="shared" si="10"/>
        <v>6654833.6000000015</v>
      </c>
      <c r="L38" s="93"/>
    </row>
    <row r="39" spans="2:12" x14ac:dyDescent="0.25">
      <c r="B39" s="92"/>
      <c r="F39" s="13">
        <f t="shared" si="9"/>
        <v>3</v>
      </c>
      <c r="G39" s="14">
        <f>G38-H39</f>
        <v>74101368</v>
      </c>
      <c r="H39" s="14">
        <f>$K$18/$D$16</f>
        <v>2041360</v>
      </c>
      <c r="I39" s="14">
        <f>IF(K38&lt;1,"",(G39*$D$9))</f>
        <v>741013.68</v>
      </c>
      <c r="J39" s="15">
        <f t="shared" si="11"/>
        <v>2782373.68</v>
      </c>
      <c r="K39" s="16">
        <f t="shared" si="10"/>
        <v>4613473.6000000015</v>
      </c>
      <c r="L39" s="93"/>
    </row>
    <row r="40" spans="2:12" x14ac:dyDescent="0.25">
      <c r="B40" s="92"/>
      <c r="F40" s="13">
        <f t="shared" si="9"/>
        <v>4</v>
      </c>
      <c r="G40" s="14">
        <f>G39-H40</f>
        <v>72060008</v>
      </c>
      <c r="H40" s="14">
        <f>$K$18/$D$16</f>
        <v>2041360</v>
      </c>
      <c r="I40" s="14">
        <f>IF(K39&lt;1,"",(G40*$D$9))</f>
        <v>720600.08</v>
      </c>
      <c r="J40" s="15">
        <f t="shared" si="11"/>
        <v>2761960.08</v>
      </c>
      <c r="K40" s="16">
        <f t="shared" si="10"/>
        <v>2572113.6000000015</v>
      </c>
      <c r="L40" s="93"/>
    </row>
    <row r="41" spans="2:12" x14ac:dyDescent="0.25">
      <c r="B41" s="92"/>
      <c r="F41" s="13">
        <f t="shared" si="9"/>
        <v>5</v>
      </c>
      <c r="G41" s="14">
        <f>G40-H41</f>
        <v>70018648</v>
      </c>
      <c r="H41" s="14">
        <f>$K$18/$D$16</f>
        <v>2041360</v>
      </c>
      <c r="I41" s="14">
        <f>IF(K40&lt;1,"",(G41*$D$9))</f>
        <v>700186.48</v>
      </c>
      <c r="J41" s="15">
        <f t="shared" si="11"/>
        <v>2741546.48</v>
      </c>
      <c r="K41" s="16">
        <f t="shared" si="10"/>
        <v>530753.60000000149</v>
      </c>
      <c r="L41" s="93"/>
    </row>
    <row r="42" spans="2:12" ht="12.75" thickBot="1" x14ac:dyDescent="0.3">
      <c r="B42" s="92"/>
      <c r="F42" s="89" t="s">
        <v>23</v>
      </c>
      <c r="G42" s="90"/>
      <c r="H42" s="91">
        <f>SUM(H37:H41)</f>
        <v>10206800</v>
      </c>
      <c r="I42" s="91">
        <f>SUM(I37:I41)</f>
        <v>3705068.4000000004</v>
      </c>
      <c r="J42" s="91">
        <f>SUM(J37:J41)</f>
        <v>13911868.4</v>
      </c>
      <c r="K42" s="2"/>
      <c r="L42" s="93"/>
    </row>
    <row r="43" spans="2:12" ht="12.75" thickBot="1" x14ac:dyDescent="0.3">
      <c r="B43" s="92"/>
      <c r="F43" s="153" t="s">
        <v>4</v>
      </c>
      <c r="G43" s="154"/>
      <c r="H43" s="155"/>
      <c r="I43" s="155"/>
      <c r="J43" s="155"/>
      <c r="K43" s="156"/>
      <c r="L43" s="93"/>
    </row>
    <row r="44" spans="2:12" ht="12.75" thickBot="1" x14ac:dyDescent="0.3">
      <c r="B44" s="92"/>
      <c r="F44" s="84" t="s">
        <v>18</v>
      </c>
      <c r="G44" s="85" t="s">
        <v>91</v>
      </c>
      <c r="H44" s="85" t="s">
        <v>19</v>
      </c>
      <c r="I44" s="85" t="s">
        <v>20</v>
      </c>
      <c r="J44" s="85" t="s">
        <v>21</v>
      </c>
      <c r="K44" s="86" t="s">
        <v>22</v>
      </c>
      <c r="L44" s="93"/>
    </row>
    <row r="45" spans="2:12" x14ac:dyDescent="0.25">
      <c r="B45" s="92"/>
      <c r="F45" s="87"/>
      <c r="G45" s="88"/>
      <c r="H45" s="42"/>
      <c r="I45" s="42"/>
      <c r="J45" s="42"/>
      <c r="K45" s="43">
        <f>Simulador!I12</f>
        <v>11295906.3872</v>
      </c>
      <c r="L45" s="93"/>
    </row>
    <row r="46" spans="2:12" x14ac:dyDescent="0.25">
      <c r="B46" s="92"/>
      <c r="F46" s="13">
        <f t="shared" ref="F46:F50" si="12">IF(K45&lt;1,"",F45+1)</f>
        <v>1</v>
      </c>
      <c r="G46" s="14">
        <f>G41+Simulador!H12</f>
        <v>98258413.967999995</v>
      </c>
      <c r="H46" s="14">
        <f>$K$18/$D$16</f>
        <v>2041360</v>
      </c>
      <c r="I46" s="14">
        <f>IF(K45&lt;1,"",(G46*$D$9))</f>
        <v>982584.13968000002</v>
      </c>
      <c r="J46" s="15">
        <f>H46+I46</f>
        <v>3023944.13968</v>
      </c>
      <c r="K46" s="16">
        <f t="shared" ref="K46:K50" si="13">IF(F46="",0,(K45-H46))</f>
        <v>9254546.3871999998</v>
      </c>
      <c r="L46" s="93"/>
    </row>
    <row r="47" spans="2:12" x14ac:dyDescent="0.25">
      <c r="B47" s="92"/>
      <c r="F47" s="13">
        <f t="shared" si="12"/>
        <v>2</v>
      </c>
      <c r="G47" s="14">
        <f>G46-H47</f>
        <v>96217053.967999995</v>
      </c>
      <c r="H47" s="14">
        <f>$K$18/$D$16</f>
        <v>2041360</v>
      </c>
      <c r="I47" s="14">
        <f>IF(K46&lt;1,"",(G47*$D$9))</f>
        <v>962170.53967999993</v>
      </c>
      <c r="J47" s="15">
        <f t="shared" ref="J47:J50" si="14">H47+I47</f>
        <v>3003530.5396799999</v>
      </c>
      <c r="K47" s="16">
        <f t="shared" si="13"/>
        <v>7213186.3871999998</v>
      </c>
      <c r="L47" s="93"/>
    </row>
    <row r="48" spans="2:12" x14ac:dyDescent="0.25">
      <c r="B48" s="92"/>
      <c r="F48" s="13">
        <f t="shared" si="12"/>
        <v>3</v>
      </c>
      <c r="G48" s="14">
        <f>G47-H48</f>
        <v>94175693.967999995</v>
      </c>
      <c r="H48" s="14">
        <f>$K$18/$D$16</f>
        <v>2041360</v>
      </c>
      <c r="I48" s="14">
        <f>IF(K47&lt;1,"",(G48*$D$9))</f>
        <v>941756.93967999995</v>
      </c>
      <c r="J48" s="15">
        <f t="shared" si="14"/>
        <v>2983116.9396799998</v>
      </c>
      <c r="K48" s="16">
        <f t="shared" si="13"/>
        <v>5171826.3871999998</v>
      </c>
      <c r="L48" s="93"/>
    </row>
    <row r="49" spans="2:12" x14ac:dyDescent="0.25">
      <c r="B49" s="92"/>
      <c r="F49" s="13">
        <f t="shared" si="12"/>
        <v>4</v>
      </c>
      <c r="G49" s="14">
        <f>G48-H49</f>
        <v>92134333.967999995</v>
      </c>
      <c r="H49" s="14">
        <f>$K$18/$D$16</f>
        <v>2041360</v>
      </c>
      <c r="I49" s="14">
        <f>IF(K48&lt;1,"",(G49*$D$9))</f>
        <v>921343.33967999998</v>
      </c>
      <c r="J49" s="15">
        <f t="shared" si="14"/>
        <v>2962703.3396800002</v>
      </c>
      <c r="K49" s="16">
        <f t="shared" si="13"/>
        <v>3130466.3871999998</v>
      </c>
      <c r="L49" s="93"/>
    </row>
    <row r="50" spans="2:12" x14ac:dyDescent="0.25">
      <c r="B50" s="92"/>
      <c r="F50" s="13">
        <f t="shared" si="12"/>
        <v>5</v>
      </c>
      <c r="G50" s="14">
        <f>G49-H50</f>
        <v>90092973.967999995</v>
      </c>
      <c r="H50" s="14">
        <f>$K$18/$D$16</f>
        <v>2041360</v>
      </c>
      <c r="I50" s="14">
        <f>IF(K49&lt;1,"",(G50*$D$9))</f>
        <v>900929.73968</v>
      </c>
      <c r="J50" s="15">
        <f t="shared" si="14"/>
        <v>2942289.7396800001</v>
      </c>
      <c r="K50" s="16">
        <f t="shared" si="13"/>
        <v>1089106.3871999998</v>
      </c>
      <c r="L50" s="93"/>
    </row>
    <row r="51" spans="2:12" ht="12.75" thickBot="1" x14ac:dyDescent="0.3">
      <c r="B51" s="92"/>
      <c r="F51" s="89" t="s">
        <v>23</v>
      </c>
      <c r="G51" s="90"/>
      <c r="H51" s="91">
        <f>SUM(H46:H50)</f>
        <v>10206800</v>
      </c>
      <c r="I51" s="91">
        <f>SUM(I46:I50)</f>
        <v>4708784.6983999992</v>
      </c>
      <c r="J51" s="91">
        <f>SUM(J46:J50)</f>
        <v>14915584.698400002</v>
      </c>
      <c r="K51" s="2"/>
      <c r="L51" s="93"/>
    </row>
    <row r="52" spans="2:12" ht="12.75" thickBot="1" x14ac:dyDescent="0.3">
      <c r="B52" s="92"/>
      <c r="F52" s="153" t="s">
        <v>5</v>
      </c>
      <c r="G52" s="154"/>
      <c r="H52" s="155"/>
      <c r="I52" s="155"/>
      <c r="J52" s="155"/>
      <c r="K52" s="156"/>
      <c r="L52" s="93"/>
    </row>
    <row r="53" spans="2:12" ht="12.75" thickBot="1" x14ac:dyDescent="0.3">
      <c r="B53" s="92"/>
      <c r="F53" s="84" t="s">
        <v>18</v>
      </c>
      <c r="G53" s="85" t="s">
        <v>91</v>
      </c>
      <c r="H53" s="85" t="s">
        <v>19</v>
      </c>
      <c r="I53" s="85" t="s">
        <v>20</v>
      </c>
      <c r="J53" s="85" t="s">
        <v>21</v>
      </c>
      <c r="K53" s="86" t="s">
        <v>22</v>
      </c>
      <c r="L53" s="93"/>
    </row>
    <row r="54" spans="2:12" x14ac:dyDescent="0.25">
      <c r="B54" s="92"/>
      <c r="F54" s="87"/>
      <c r="G54" s="88"/>
      <c r="H54" s="42"/>
      <c r="I54" s="42"/>
      <c r="J54" s="42"/>
      <c r="K54" s="43">
        <f>Simulador!I13</f>
        <v>11295906.3872</v>
      </c>
      <c r="L54" s="93"/>
    </row>
    <row r="55" spans="2:12" x14ac:dyDescent="0.25">
      <c r="B55" s="92"/>
      <c r="F55" s="13">
        <f t="shared" ref="F55:F59" si="15">IF(K54&lt;1,"",F54+1)</f>
        <v>1</v>
      </c>
      <c r="G55" s="14">
        <f>G50+Simulador!H13</f>
        <v>118332739.93599999</v>
      </c>
      <c r="H55" s="14">
        <f>$K$18/$D$16</f>
        <v>2041360</v>
      </c>
      <c r="I55" s="14">
        <f>IF(K54&lt;1,"",(G55*$D$9))</f>
        <v>1183327.3993599999</v>
      </c>
      <c r="J55" s="15">
        <f>H55+I55</f>
        <v>3224687.3993600002</v>
      </c>
      <c r="K55" s="16">
        <f t="shared" ref="K55:K59" si="16">IF(F55="",0,(K54-H55))</f>
        <v>9254546.3871999998</v>
      </c>
      <c r="L55" s="93"/>
    </row>
    <row r="56" spans="2:12" x14ac:dyDescent="0.25">
      <c r="B56" s="92"/>
      <c r="F56" s="13">
        <f t="shared" si="15"/>
        <v>2</v>
      </c>
      <c r="G56" s="14">
        <f>G55-H56</f>
        <v>116291379.93599999</v>
      </c>
      <c r="H56" s="14">
        <f>$K$18/$D$16</f>
        <v>2041360</v>
      </c>
      <c r="I56" s="14">
        <f>IF(K55&lt;1,"",(G56*$D$9))</f>
        <v>1162913.7993599998</v>
      </c>
      <c r="J56" s="15">
        <f t="shared" ref="J56:J59" si="17">H56+I56</f>
        <v>3204273.7993599996</v>
      </c>
      <c r="K56" s="16">
        <f t="shared" si="16"/>
        <v>7213186.3871999998</v>
      </c>
      <c r="L56" s="93"/>
    </row>
    <row r="57" spans="2:12" x14ac:dyDescent="0.25">
      <c r="B57" s="92"/>
      <c r="F57" s="13">
        <f t="shared" si="15"/>
        <v>3</v>
      </c>
      <c r="G57" s="14">
        <f>G56-H57</f>
        <v>114250019.93599999</v>
      </c>
      <c r="H57" s="14">
        <f>$K$18/$D$16</f>
        <v>2041360</v>
      </c>
      <c r="I57" s="14">
        <f>IF(K56&lt;1,"",(G57*$D$9))</f>
        <v>1142500.19936</v>
      </c>
      <c r="J57" s="15">
        <f t="shared" si="17"/>
        <v>3183860.19936</v>
      </c>
      <c r="K57" s="16">
        <f t="shared" si="16"/>
        <v>5171826.3871999998</v>
      </c>
      <c r="L57" s="93"/>
    </row>
    <row r="58" spans="2:12" x14ac:dyDescent="0.25">
      <c r="B58" s="92"/>
      <c r="F58" s="13">
        <f t="shared" si="15"/>
        <v>4</v>
      </c>
      <c r="G58" s="14">
        <f>G57-H58</f>
        <v>112208659.93599999</v>
      </c>
      <c r="H58" s="14">
        <f>$K$18/$D$16</f>
        <v>2041360</v>
      </c>
      <c r="I58" s="14">
        <f>IF(K57&lt;1,"",(G58*$D$9))</f>
        <v>1122086.5993599999</v>
      </c>
      <c r="J58" s="15">
        <f t="shared" si="17"/>
        <v>3163446.5993599999</v>
      </c>
      <c r="K58" s="16">
        <f t="shared" si="16"/>
        <v>3130466.3871999998</v>
      </c>
      <c r="L58" s="93"/>
    </row>
    <row r="59" spans="2:12" x14ac:dyDescent="0.25">
      <c r="B59" s="92"/>
      <c r="F59" s="13">
        <f t="shared" si="15"/>
        <v>5</v>
      </c>
      <c r="G59" s="14">
        <f>G58-H59</f>
        <v>110167299.93599999</v>
      </c>
      <c r="H59" s="14">
        <f>$K$18/$D$16</f>
        <v>2041360</v>
      </c>
      <c r="I59" s="14">
        <f>IF(K58&lt;1,"",(G59*$D$9))</f>
        <v>1101672.99936</v>
      </c>
      <c r="J59" s="15">
        <f t="shared" si="17"/>
        <v>3143032.9993599998</v>
      </c>
      <c r="K59" s="16">
        <f t="shared" si="16"/>
        <v>1089106.3871999998</v>
      </c>
      <c r="L59" s="93"/>
    </row>
    <row r="60" spans="2:12" ht="12.75" thickBot="1" x14ac:dyDescent="0.3">
      <c r="B60" s="92"/>
      <c r="F60" s="89" t="s">
        <v>23</v>
      </c>
      <c r="G60" s="90"/>
      <c r="H60" s="91">
        <f>SUM(H55:H59)</f>
        <v>10206800</v>
      </c>
      <c r="I60" s="91">
        <f>SUM(I55:I59)</f>
        <v>5712500.9967999989</v>
      </c>
      <c r="J60" s="91">
        <f>SUM(J55:J59)</f>
        <v>15919300.996799998</v>
      </c>
      <c r="K60" s="2"/>
      <c r="L60" s="93"/>
    </row>
    <row r="61" spans="2:12" ht="12.75" thickBot="1" x14ac:dyDescent="0.3">
      <c r="B61" s="92"/>
      <c r="F61" s="153" t="s">
        <v>6</v>
      </c>
      <c r="G61" s="154"/>
      <c r="H61" s="155"/>
      <c r="I61" s="155"/>
      <c r="J61" s="155"/>
      <c r="K61" s="156"/>
      <c r="L61" s="93"/>
    </row>
    <row r="62" spans="2:12" ht="12.75" thickBot="1" x14ac:dyDescent="0.3">
      <c r="B62" s="92"/>
      <c r="F62" s="84" t="s">
        <v>18</v>
      </c>
      <c r="G62" s="85" t="s">
        <v>91</v>
      </c>
      <c r="H62" s="85" t="s">
        <v>19</v>
      </c>
      <c r="I62" s="85" t="s">
        <v>20</v>
      </c>
      <c r="J62" s="85" t="s">
        <v>21</v>
      </c>
      <c r="K62" s="86" t="s">
        <v>22</v>
      </c>
      <c r="L62" s="93"/>
    </row>
    <row r="63" spans="2:12" x14ac:dyDescent="0.25">
      <c r="B63" s="92"/>
      <c r="F63" s="87"/>
      <c r="G63" s="88"/>
      <c r="H63" s="42"/>
      <c r="I63" s="42"/>
      <c r="J63" s="42"/>
      <c r="K63" s="43">
        <f>Simulador!I14</f>
        <v>11883293.5193344</v>
      </c>
      <c r="L63" s="93"/>
    </row>
    <row r="64" spans="2:12" x14ac:dyDescent="0.25">
      <c r="B64" s="92"/>
      <c r="F64" s="13">
        <f t="shared" ref="F64:F68" si="18">IF(K63&lt;1,"",F63+1)</f>
        <v>1</v>
      </c>
      <c r="G64" s="14">
        <f>G59+Simulador!H14</f>
        <v>139875533.73433599</v>
      </c>
      <c r="H64" s="14">
        <f>$K$18/$D$16</f>
        <v>2041360</v>
      </c>
      <c r="I64" s="14">
        <f>IF(K63&lt;1,"",(G64*$D$9))</f>
        <v>1398755.3373433598</v>
      </c>
      <c r="J64" s="15">
        <f>H64+I64</f>
        <v>3440115.3373433598</v>
      </c>
      <c r="K64" s="16">
        <f t="shared" ref="K64:K68" si="19">IF(F64="",0,(K63-H64))</f>
        <v>9841933.5193344001</v>
      </c>
      <c r="L64" s="93"/>
    </row>
    <row r="65" spans="2:12" x14ac:dyDescent="0.25">
      <c r="B65" s="92"/>
      <c r="F65" s="13">
        <f t="shared" si="18"/>
        <v>2</v>
      </c>
      <c r="G65" s="14">
        <f>G64-H65</f>
        <v>137834173.73433599</v>
      </c>
      <c r="H65" s="14">
        <f>$K$18/$D$16</f>
        <v>2041360</v>
      </c>
      <c r="I65" s="14">
        <f>IF(K64&lt;1,"",(G65*$D$9))</f>
        <v>1378341.73734336</v>
      </c>
      <c r="J65" s="15">
        <f t="shared" ref="J65:J68" si="20">H65+I65</f>
        <v>3419701.7373433597</v>
      </c>
      <c r="K65" s="16">
        <f t="shared" si="19"/>
        <v>7800573.5193344001</v>
      </c>
      <c r="L65" s="93"/>
    </row>
    <row r="66" spans="2:12" x14ac:dyDescent="0.25">
      <c r="B66" s="92"/>
      <c r="F66" s="13">
        <f t="shared" si="18"/>
        <v>3</v>
      </c>
      <c r="G66" s="14">
        <f>G65-H66</f>
        <v>135792813.73433599</v>
      </c>
      <c r="H66" s="14">
        <f>$K$18/$D$16</f>
        <v>2041360</v>
      </c>
      <c r="I66" s="14">
        <f>IF(K65&lt;1,"",(G66*$D$9))</f>
        <v>1357928.1373433599</v>
      </c>
      <c r="J66" s="15">
        <f t="shared" si="20"/>
        <v>3399288.1373433601</v>
      </c>
      <c r="K66" s="16">
        <f t="shared" si="19"/>
        <v>5759213.5193344001</v>
      </c>
      <c r="L66" s="93"/>
    </row>
    <row r="67" spans="2:12" x14ac:dyDescent="0.25">
      <c r="B67" s="92"/>
      <c r="F67" s="13">
        <f t="shared" si="18"/>
        <v>4</v>
      </c>
      <c r="G67" s="14">
        <f>G66-H67</f>
        <v>133751453.73433599</v>
      </c>
      <c r="H67" s="14">
        <f>$K$18/$D$16</f>
        <v>2041360</v>
      </c>
      <c r="I67" s="14">
        <f>IF(K66&lt;1,"",(G67*$D$9))</f>
        <v>1337514.53734336</v>
      </c>
      <c r="J67" s="15">
        <f t="shared" si="20"/>
        <v>3378874.53734336</v>
      </c>
      <c r="K67" s="16">
        <f t="shared" si="19"/>
        <v>3717853.5193344001</v>
      </c>
      <c r="L67" s="93"/>
    </row>
    <row r="68" spans="2:12" x14ac:dyDescent="0.25">
      <c r="B68" s="92"/>
      <c r="F68" s="13">
        <f t="shared" si="18"/>
        <v>5</v>
      </c>
      <c r="G68" s="14">
        <f>G67-H68</f>
        <v>131710093.73433599</v>
      </c>
      <c r="H68" s="14">
        <f>$K$18/$D$16</f>
        <v>2041360</v>
      </c>
      <c r="I68" s="14">
        <f>IF(K67&lt;1,"",(G68*$D$9))</f>
        <v>1317100.9373433599</v>
      </c>
      <c r="J68" s="15">
        <f t="shared" si="20"/>
        <v>3358460.9373433599</v>
      </c>
      <c r="K68" s="16">
        <f t="shared" si="19"/>
        <v>1676493.5193344001</v>
      </c>
      <c r="L68" s="93"/>
    </row>
    <row r="69" spans="2:12" ht="12.75" thickBot="1" x14ac:dyDescent="0.3">
      <c r="B69" s="92"/>
      <c r="F69" s="89" t="s">
        <v>23</v>
      </c>
      <c r="G69" s="90"/>
      <c r="H69" s="91">
        <f>SUM(H64:H68)</f>
        <v>10206800</v>
      </c>
      <c r="I69" s="91">
        <f>SUM(I64:I68)</f>
        <v>6789640.6867167996</v>
      </c>
      <c r="J69" s="91">
        <f>SUM(J64:J68)</f>
        <v>16996440.686716799</v>
      </c>
      <c r="K69" s="2"/>
      <c r="L69" s="93"/>
    </row>
    <row r="70" spans="2:12" ht="12.75" thickBot="1" x14ac:dyDescent="0.3">
      <c r="B70" s="92"/>
      <c r="F70" s="153" t="s">
        <v>7</v>
      </c>
      <c r="G70" s="154"/>
      <c r="H70" s="155"/>
      <c r="I70" s="155"/>
      <c r="J70" s="155"/>
      <c r="K70" s="156"/>
      <c r="L70" s="93"/>
    </row>
    <row r="71" spans="2:12" ht="12.75" thickBot="1" x14ac:dyDescent="0.3">
      <c r="B71" s="92"/>
      <c r="F71" s="84" t="s">
        <v>18</v>
      </c>
      <c r="G71" s="85" t="s">
        <v>91</v>
      </c>
      <c r="H71" s="85" t="s">
        <v>19</v>
      </c>
      <c r="I71" s="85" t="s">
        <v>20</v>
      </c>
      <c r="J71" s="85" t="s">
        <v>21</v>
      </c>
      <c r="K71" s="86" t="s">
        <v>22</v>
      </c>
      <c r="L71" s="93"/>
    </row>
    <row r="72" spans="2:12" x14ac:dyDescent="0.25">
      <c r="B72" s="92"/>
      <c r="F72" s="87"/>
      <c r="G72" s="88"/>
      <c r="H72" s="42"/>
      <c r="I72" s="42"/>
      <c r="J72" s="42"/>
      <c r="K72" s="43">
        <f>Simulador!I15</f>
        <v>11883293.5193344</v>
      </c>
      <c r="L72" s="93"/>
    </row>
    <row r="73" spans="2:12" x14ac:dyDescent="0.25">
      <c r="B73" s="92"/>
      <c r="F73" s="13">
        <f t="shared" ref="F73:F77" si="21">IF(K72&lt;1,"",F72+1)</f>
        <v>1</v>
      </c>
      <c r="G73" s="14">
        <f>G68+Simulador!H15</f>
        <v>161418327.53267199</v>
      </c>
      <c r="H73" s="14">
        <f>$K$18/$D$16</f>
        <v>2041360</v>
      </c>
      <c r="I73" s="14">
        <f>IF(K72&lt;1,"",(G73*$D$9))</f>
        <v>1614183.27532672</v>
      </c>
      <c r="J73" s="15">
        <f>H73+I73</f>
        <v>3655543.27532672</v>
      </c>
      <c r="K73" s="16">
        <f t="shared" ref="K73:K77" si="22">IF(F73="",0,(K72-H73))</f>
        <v>9841933.5193344001</v>
      </c>
      <c r="L73" s="93"/>
    </row>
    <row r="74" spans="2:12" x14ac:dyDescent="0.25">
      <c r="B74" s="92"/>
      <c r="F74" s="13">
        <f t="shared" si="21"/>
        <v>2</v>
      </c>
      <c r="G74" s="14">
        <f>G73-H74</f>
        <v>159376967.53267199</v>
      </c>
      <c r="H74" s="14">
        <f>$K$18/$D$16</f>
        <v>2041360</v>
      </c>
      <c r="I74" s="14">
        <f>IF(K73&lt;1,"",(G74*$D$9))</f>
        <v>1593769.6753267199</v>
      </c>
      <c r="J74" s="15">
        <f t="shared" ref="J74:J77" si="23">H74+I74</f>
        <v>3635129.6753267199</v>
      </c>
      <c r="K74" s="16">
        <f t="shared" si="22"/>
        <v>7800573.5193344001</v>
      </c>
      <c r="L74" s="93"/>
    </row>
    <row r="75" spans="2:12" x14ac:dyDescent="0.25">
      <c r="B75" s="92"/>
      <c r="F75" s="13">
        <f t="shared" si="21"/>
        <v>3</v>
      </c>
      <c r="G75" s="14">
        <f>G74-H75</f>
        <v>157335607.53267199</v>
      </c>
      <c r="H75" s="14">
        <f>$K$18/$D$16</f>
        <v>2041360</v>
      </c>
      <c r="I75" s="14">
        <f>IF(K74&lt;1,"",(G75*$D$9))</f>
        <v>1573356.07532672</v>
      </c>
      <c r="J75" s="15">
        <f t="shared" si="23"/>
        <v>3614716.0753267203</v>
      </c>
      <c r="K75" s="16">
        <f t="shared" si="22"/>
        <v>5759213.5193344001</v>
      </c>
      <c r="L75" s="93"/>
    </row>
    <row r="76" spans="2:12" x14ac:dyDescent="0.25">
      <c r="B76" s="92"/>
      <c r="F76" s="13">
        <f t="shared" si="21"/>
        <v>4</v>
      </c>
      <c r="G76" s="14">
        <f>G75-H76</f>
        <v>155294247.53267199</v>
      </c>
      <c r="H76" s="14">
        <f>$K$18/$D$16</f>
        <v>2041360</v>
      </c>
      <c r="I76" s="14">
        <f>IF(K75&lt;1,"",(G76*$D$9))</f>
        <v>1552942.4753267199</v>
      </c>
      <c r="J76" s="15">
        <f t="shared" si="23"/>
        <v>3594302.4753267197</v>
      </c>
      <c r="K76" s="16">
        <f t="shared" si="22"/>
        <v>3717853.5193344001</v>
      </c>
      <c r="L76" s="93"/>
    </row>
    <row r="77" spans="2:12" x14ac:dyDescent="0.25">
      <c r="B77" s="92"/>
      <c r="F77" s="13">
        <f t="shared" si="21"/>
        <v>5</v>
      </c>
      <c r="G77" s="14">
        <f>G76-H77</f>
        <v>153252887.53267199</v>
      </c>
      <c r="H77" s="14">
        <f>$K$18/$D$16</f>
        <v>2041360</v>
      </c>
      <c r="I77" s="14">
        <f>IF(K76&lt;1,"",(G77*$D$9))</f>
        <v>1532528.8753267198</v>
      </c>
      <c r="J77" s="15">
        <f t="shared" si="23"/>
        <v>3573888.8753267201</v>
      </c>
      <c r="K77" s="16">
        <f t="shared" si="22"/>
        <v>1676493.5193344001</v>
      </c>
      <c r="L77" s="93"/>
    </row>
    <row r="78" spans="2:12" ht="12.75" thickBot="1" x14ac:dyDescent="0.3">
      <c r="B78" s="92"/>
      <c r="F78" s="89" t="s">
        <v>23</v>
      </c>
      <c r="G78" s="90"/>
      <c r="H78" s="91">
        <f>SUM(H73:H77)</f>
        <v>10206800</v>
      </c>
      <c r="I78" s="91">
        <f>SUM(I73:I77)</f>
        <v>7866780.3766335994</v>
      </c>
      <c r="J78" s="91">
        <f>SUM(J73:J77)</f>
        <v>18073580.376633599</v>
      </c>
      <c r="K78" s="2"/>
      <c r="L78" s="93"/>
    </row>
    <row r="79" spans="2:12" ht="12.75" thickBot="1" x14ac:dyDescent="0.3">
      <c r="B79" s="92"/>
      <c r="F79" s="153" t="s">
        <v>8</v>
      </c>
      <c r="G79" s="154"/>
      <c r="H79" s="155"/>
      <c r="I79" s="155"/>
      <c r="J79" s="155"/>
      <c r="K79" s="156"/>
      <c r="L79" s="93"/>
    </row>
    <row r="80" spans="2:12" ht="12.75" thickBot="1" x14ac:dyDescent="0.3">
      <c r="B80" s="92"/>
      <c r="F80" s="84" t="s">
        <v>18</v>
      </c>
      <c r="G80" s="85" t="s">
        <v>91</v>
      </c>
      <c r="H80" s="85" t="s">
        <v>19</v>
      </c>
      <c r="I80" s="85" t="s">
        <v>20</v>
      </c>
      <c r="J80" s="85" t="s">
        <v>21</v>
      </c>
      <c r="K80" s="86" t="s">
        <v>22</v>
      </c>
      <c r="L80" s="93"/>
    </row>
    <row r="81" spans="2:12" x14ac:dyDescent="0.25">
      <c r="B81" s="92"/>
      <c r="F81" s="87"/>
      <c r="G81" s="88"/>
      <c r="H81" s="42"/>
      <c r="I81" s="42"/>
      <c r="J81" s="42"/>
      <c r="K81" s="43">
        <f>Simulador!I16</f>
        <v>0</v>
      </c>
      <c r="L81" s="93"/>
    </row>
    <row r="82" spans="2:12" x14ac:dyDescent="0.25">
      <c r="B82" s="92"/>
      <c r="F82" s="13" t="str">
        <f t="shared" ref="F82:F86" si="24">IF(K81&lt;1,"",F81+1)</f>
        <v/>
      </c>
      <c r="G82" s="14">
        <f>G77+Simulador!H16</f>
        <v>153252887.53267199</v>
      </c>
      <c r="H82" s="14">
        <f>$K$18/$D$16</f>
        <v>2041360</v>
      </c>
      <c r="I82" s="14">
        <f>G82*$D$9</f>
        <v>1532528.8753267198</v>
      </c>
      <c r="J82" s="15">
        <f>H82+I82</f>
        <v>3573888.8753267201</v>
      </c>
      <c r="K82" s="16">
        <f t="shared" ref="K82:K86" si="25">IF(F82="",0,(K81-H82))</f>
        <v>0</v>
      </c>
      <c r="L82" s="93"/>
    </row>
    <row r="83" spans="2:12" x14ac:dyDescent="0.25">
      <c r="B83" s="92"/>
      <c r="F83" s="13" t="str">
        <f t="shared" si="24"/>
        <v/>
      </c>
      <c r="G83" s="14">
        <f>G82-H83</f>
        <v>151211527.53267199</v>
      </c>
      <c r="H83" s="14">
        <f>$K$18/$D$16</f>
        <v>2041360</v>
      </c>
      <c r="I83" s="14">
        <f>G83*$D$9</f>
        <v>1512115.27532672</v>
      </c>
      <c r="J83" s="15">
        <f t="shared" ref="J83:J86" si="26">H83+I83</f>
        <v>3553475.27532672</v>
      </c>
      <c r="K83" s="16">
        <f t="shared" si="25"/>
        <v>0</v>
      </c>
      <c r="L83" s="93"/>
    </row>
    <row r="84" spans="2:12" x14ac:dyDescent="0.25">
      <c r="B84" s="92"/>
      <c r="F84" s="13" t="str">
        <f t="shared" si="24"/>
        <v/>
      </c>
      <c r="G84" s="14">
        <f>G83-H84</f>
        <v>149170167.53267199</v>
      </c>
      <c r="H84" s="14">
        <f>$K$18/$D$16</f>
        <v>2041360</v>
      </c>
      <c r="I84" s="14">
        <f>G84*$D$9</f>
        <v>1491701.6753267199</v>
      </c>
      <c r="J84" s="15">
        <f t="shared" si="26"/>
        <v>3533061.6753267199</v>
      </c>
      <c r="K84" s="16">
        <f t="shared" si="25"/>
        <v>0</v>
      </c>
      <c r="L84" s="93"/>
    </row>
    <row r="85" spans="2:12" x14ac:dyDescent="0.25">
      <c r="B85" s="92"/>
      <c r="F85" s="13" t="str">
        <f t="shared" si="24"/>
        <v/>
      </c>
      <c r="G85" s="14">
        <f>G84-H85</f>
        <v>147128807.53267199</v>
      </c>
      <c r="H85" s="14">
        <f>$K$18/$D$16</f>
        <v>2041360</v>
      </c>
      <c r="I85" s="14">
        <f>G85*$D$9</f>
        <v>1471288.07532672</v>
      </c>
      <c r="J85" s="15">
        <f t="shared" si="26"/>
        <v>3512648.0753267203</v>
      </c>
      <c r="K85" s="16">
        <f t="shared" si="25"/>
        <v>0</v>
      </c>
      <c r="L85" s="93"/>
    </row>
    <row r="86" spans="2:12" x14ac:dyDescent="0.25">
      <c r="B86" s="92"/>
      <c r="F86" s="13" t="str">
        <f t="shared" si="24"/>
        <v/>
      </c>
      <c r="G86" s="14">
        <f>G85-H86</f>
        <v>145087447.53267199</v>
      </c>
      <c r="H86" s="14">
        <f>$K$18/$D$16</f>
        <v>2041360</v>
      </c>
      <c r="I86" s="14">
        <f>G86*$D$9</f>
        <v>1450874.4753267199</v>
      </c>
      <c r="J86" s="15">
        <f t="shared" si="26"/>
        <v>3492234.4753267197</v>
      </c>
      <c r="K86" s="16">
        <f t="shared" si="25"/>
        <v>0</v>
      </c>
      <c r="L86" s="93"/>
    </row>
    <row r="87" spans="2:12" ht="12.75" thickBot="1" x14ac:dyDescent="0.3">
      <c r="B87" s="92"/>
      <c r="F87" s="89" t="s">
        <v>23</v>
      </c>
      <c r="G87" s="90"/>
      <c r="H87" s="91">
        <f>SUM(H82:H86)</f>
        <v>10206800</v>
      </c>
      <c r="I87" s="91">
        <f>SUM(I82:I86)</f>
        <v>7458508.3766335994</v>
      </c>
      <c r="J87" s="91">
        <f>SUM(J82:J86)</f>
        <v>17665308.376633599</v>
      </c>
      <c r="K87" s="2"/>
      <c r="L87" s="93"/>
    </row>
    <row r="88" spans="2:12" ht="12.75" thickBot="1" x14ac:dyDescent="0.3">
      <c r="B88" s="92"/>
      <c r="F88" s="153" t="s">
        <v>92</v>
      </c>
      <c r="G88" s="154"/>
      <c r="H88" s="155"/>
      <c r="I88" s="155"/>
      <c r="J88" s="155"/>
      <c r="K88" s="156"/>
      <c r="L88" s="93"/>
    </row>
    <row r="89" spans="2:12" ht="12.75" thickBot="1" x14ac:dyDescent="0.3">
      <c r="B89" s="92"/>
      <c r="F89" s="84" t="s">
        <v>18</v>
      </c>
      <c r="G89" s="85" t="s">
        <v>91</v>
      </c>
      <c r="H89" s="85" t="s">
        <v>19</v>
      </c>
      <c r="I89" s="85" t="s">
        <v>20</v>
      </c>
      <c r="J89" s="85" t="s">
        <v>21</v>
      </c>
      <c r="K89" s="86" t="s">
        <v>22</v>
      </c>
      <c r="L89" s="93"/>
    </row>
    <row r="90" spans="2:12" x14ac:dyDescent="0.25">
      <c r="B90" s="92"/>
      <c r="F90" s="87"/>
      <c r="G90" s="88"/>
      <c r="H90" s="42"/>
      <c r="I90" s="42"/>
      <c r="J90" s="42"/>
      <c r="K90" s="43">
        <f>Simulador!I17</f>
        <v>0</v>
      </c>
      <c r="L90" s="93"/>
    </row>
    <row r="91" spans="2:12" x14ac:dyDescent="0.25">
      <c r="B91" s="92"/>
      <c r="F91" s="13" t="str">
        <f t="shared" ref="F91:F95" si="27">IF(K90&lt;1,"",F90+1)</f>
        <v/>
      </c>
      <c r="G91" s="14">
        <f>G86+Simulador!H17</f>
        <v>145087447.53267199</v>
      </c>
      <c r="H91" s="14">
        <f>$K$18/$D$16</f>
        <v>2041360</v>
      </c>
      <c r="I91" s="14">
        <f>G91*$D$9</f>
        <v>1450874.4753267199</v>
      </c>
      <c r="J91" s="15">
        <f>H91+I91</f>
        <v>3492234.4753267197</v>
      </c>
      <c r="K91" s="16">
        <f t="shared" ref="K91:K95" si="28">IF(F91="",0,(K90-H91))</f>
        <v>0</v>
      </c>
      <c r="L91" s="93"/>
    </row>
    <row r="92" spans="2:12" x14ac:dyDescent="0.25">
      <c r="B92" s="92"/>
      <c r="F92" s="13" t="str">
        <f t="shared" si="27"/>
        <v/>
      </c>
      <c r="G92" s="14">
        <f>G91-H92</f>
        <v>143046087.53267199</v>
      </c>
      <c r="H92" s="14">
        <f>$K$18/$D$16</f>
        <v>2041360</v>
      </c>
      <c r="I92" s="14">
        <f>G92*$D$9</f>
        <v>1430460.8753267198</v>
      </c>
      <c r="J92" s="15">
        <f t="shared" ref="J92:J95" si="29">H92+I92</f>
        <v>3471820.8753267201</v>
      </c>
      <c r="K92" s="16">
        <f t="shared" si="28"/>
        <v>0</v>
      </c>
      <c r="L92" s="93"/>
    </row>
    <row r="93" spans="2:12" x14ac:dyDescent="0.25">
      <c r="B93" s="92"/>
      <c r="F93" s="13" t="str">
        <f t="shared" si="27"/>
        <v/>
      </c>
      <c r="G93" s="14">
        <f>G92-H93</f>
        <v>141004727.53267199</v>
      </c>
      <c r="H93" s="14">
        <f>$K$18/$D$16</f>
        <v>2041360</v>
      </c>
      <c r="I93" s="14">
        <f>G93*$D$9</f>
        <v>1410047.27532672</v>
      </c>
      <c r="J93" s="15">
        <f t="shared" si="29"/>
        <v>3451407.27532672</v>
      </c>
      <c r="K93" s="16">
        <f t="shared" si="28"/>
        <v>0</v>
      </c>
      <c r="L93" s="93"/>
    </row>
    <row r="94" spans="2:12" x14ac:dyDescent="0.25">
      <c r="B94" s="92"/>
      <c r="F94" s="13" t="str">
        <f t="shared" si="27"/>
        <v/>
      </c>
      <c r="G94" s="14">
        <f>G93-H94</f>
        <v>138963367.53267199</v>
      </c>
      <c r="H94" s="14">
        <f>$K$18/$D$16</f>
        <v>2041360</v>
      </c>
      <c r="I94" s="14">
        <f>G94*$D$9</f>
        <v>1389633.6753267199</v>
      </c>
      <c r="J94" s="15">
        <f t="shared" si="29"/>
        <v>3430993.6753267199</v>
      </c>
      <c r="K94" s="16">
        <f t="shared" si="28"/>
        <v>0</v>
      </c>
      <c r="L94" s="93"/>
    </row>
    <row r="95" spans="2:12" x14ac:dyDescent="0.25">
      <c r="B95" s="92"/>
      <c r="F95" s="13" t="str">
        <f t="shared" si="27"/>
        <v/>
      </c>
      <c r="G95" s="14">
        <f>G94-H95</f>
        <v>136922007.53267199</v>
      </c>
      <c r="H95" s="14">
        <f>$K$18/$D$16</f>
        <v>2041360</v>
      </c>
      <c r="I95" s="14">
        <f>G95*$D$9</f>
        <v>1369220.07532672</v>
      </c>
      <c r="J95" s="15">
        <f t="shared" si="29"/>
        <v>3410580.0753267203</v>
      </c>
      <c r="K95" s="16">
        <f t="shared" si="28"/>
        <v>0</v>
      </c>
      <c r="L95" s="93"/>
    </row>
    <row r="96" spans="2:12" ht="12.75" thickBot="1" x14ac:dyDescent="0.3">
      <c r="B96" s="92"/>
      <c r="F96" s="89" t="s">
        <v>23</v>
      </c>
      <c r="G96" s="90"/>
      <c r="H96" s="91">
        <f>SUM(H91:H95)</f>
        <v>10206800</v>
      </c>
      <c r="I96" s="91">
        <f>SUM(I91:I95)</f>
        <v>7050236.3766335994</v>
      </c>
      <c r="J96" s="91">
        <f>SUM(J91:J95)</f>
        <v>17257036.376633599</v>
      </c>
      <c r="K96" s="2"/>
      <c r="L96" s="93"/>
    </row>
    <row r="97" spans="2:12" ht="12.75" thickBot="1" x14ac:dyDescent="0.3">
      <c r="B97" s="92"/>
      <c r="F97" s="153" t="s">
        <v>93</v>
      </c>
      <c r="G97" s="154"/>
      <c r="H97" s="155"/>
      <c r="I97" s="155"/>
      <c r="J97" s="155"/>
      <c r="K97" s="156"/>
      <c r="L97" s="93"/>
    </row>
    <row r="98" spans="2:12" ht="12.75" thickBot="1" x14ac:dyDescent="0.3">
      <c r="B98" s="92"/>
      <c r="F98" s="84" t="s">
        <v>18</v>
      </c>
      <c r="G98" s="85" t="s">
        <v>91</v>
      </c>
      <c r="H98" s="85" t="s">
        <v>19</v>
      </c>
      <c r="I98" s="85" t="s">
        <v>20</v>
      </c>
      <c r="J98" s="85" t="s">
        <v>21</v>
      </c>
      <c r="K98" s="86" t="s">
        <v>22</v>
      </c>
      <c r="L98" s="93"/>
    </row>
    <row r="99" spans="2:12" x14ac:dyDescent="0.25">
      <c r="B99" s="92"/>
      <c r="F99" s="87"/>
      <c r="G99" s="88"/>
      <c r="H99" s="42"/>
      <c r="I99" s="42"/>
      <c r="J99" s="42"/>
      <c r="K99" s="43">
        <f>Simulador!I18</f>
        <v>0</v>
      </c>
      <c r="L99" s="93"/>
    </row>
    <row r="100" spans="2:12" x14ac:dyDescent="0.25">
      <c r="B100" s="92"/>
      <c r="F100" s="13" t="str">
        <f t="shared" ref="F100:F104" si="30">IF(K99&lt;1,"",F99+1)</f>
        <v/>
      </c>
      <c r="G100" s="14">
        <f>G95+Simulador!H18</f>
        <v>136922007.53267199</v>
      </c>
      <c r="H100" s="14">
        <f>$K$18/$D$16</f>
        <v>2041360</v>
      </c>
      <c r="I100" s="14">
        <f>G100*$D$9</f>
        <v>1369220.07532672</v>
      </c>
      <c r="J100" s="15">
        <f>H100+I100</f>
        <v>3410580.0753267203</v>
      </c>
      <c r="K100" s="16">
        <f t="shared" ref="K100:K104" si="31">IF(F100="",0,(K99-H100))</f>
        <v>0</v>
      </c>
      <c r="L100" s="93"/>
    </row>
    <row r="101" spans="2:12" x14ac:dyDescent="0.25">
      <c r="B101" s="92"/>
      <c r="F101" s="13" t="str">
        <f t="shared" si="30"/>
        <v/>
      </c>
      <c r="G101" s="14">
        <f>G100-H101</f>
        <v>134880647.53267199</v>
      </c>
      <c r="H101" s="14">
        <f>$K$18/$D$16</f>
        <v>2041360</v>
      </c>
      <c r="I101" s="14">
        <f>G101*$D$9</f>
        <v>1348806.4753267199</v>
      </c>
      <c r="J101" s="15">
        <f t="shared" ref="J101:J104" si="32">H101+I101</f>
        <v>3390166.4753267197</v>
      </c>
      <c r="K101" s="16">
        <f t="shared" si="31"/>
        <v>0</v>
      </c>
      <c r="L101" s="93"/>
    </row>
    <row r="102" spans="2:12" x14ac:dyDescent="0.25">
      <c r="B102" s="92"/>
      <c r="F102" s="13" t="str">
        <f t="shared" si="30"/>
        <v/>
      </c>
      <c r="G102" s="14">
        <f>G101-H102</f>
        <v>132839287.53267199</v>
      </c>
      <c r="H102" s="14">
        <f>$K$18/$D$16</f>
        <v>2041360</v>
      </c>
      <c r="I102" s="14">
        <f>G102*$D$9</f>
        <v>1328392.8753267198</v>
      </c>
      <c r="J102" s="15">
        <f t="shared" si="32"/>
        <v>3369752.8753267201</v>
      </c>
      <c r="K102" s="16">
        <f t="shared" si="31"/>
        <v>0</v>
      </c>
      <c r="L102" s="93"/>
    </row>
    <row r="103" spans="2:12" x14ac:dyDescent="0.25">
      <c r="B103" s="92"/>
      <c r="F103" s="13" t="str">
        <f t="shared" si="30"/>
        <v/>
      </c>
      <c r="G103" s="14">
        <f>G102-H103</f>
        <v>130797927.53267199</v>
      </c>
      <c r="H103" s="14">
        <f>$K$18/$D$16</f>
        <v>2041360</v>
      </c>
      <c r="I103" s="14">
        <f>G103*$D$9</f>
        <v>1307979.27532672</v>
      </c>
      <c r="J103" s="15">
        <f t="shared" si="32"/>
        <v>3349339.27532672</v>
      </c>
      <c r="K103" s="16">
        <f t="shared" si="31"/>
        <v>0</v>
      </c>
      <c r="L103" s="93"/>
    </row>
    <row r="104" spans="2:12" x14ac:dyDescent="0.25">
      <c r="B104" s="92"/>
      <c r="F104" s="13" t="str">
        <f t="shared" si="30"/>
        <v/>
      </c>
      <c r="G104" s="14">
        <f>G103-H104</f>
        <v>128756567.53267199</v>
      </c>
      <c r="H104" s="14">
        <f>$K$18/$D$16</f>
        <v>2041360</v>
      </c>
      <c r="I104" s="14">
        <f>G104*$D$9</f>
        <v>1287565.6753267199</v>
      </c>
      <c r="J104" s="15">
        <f t="shared" si="32"/>
        <v>3328925.6753267199</v>
      </c>
      <c r="K104" s="16">
        <f t="shared" si="31"/>
        <v>0</v>
      </c>
      <c r="L104" s="93"/>
    </row>
    <row r="105" spans="2:12" ht="12.75" thickBot="1" x14ac:dyDescent="0.3">
      <c r="B105" s="92"/>
      <c r="F105" s="89" t="s">
        <v>23</v>
      </c>
      <c r="G105" s="90"/>
      <c r="H105" s="91">
        <f>SUM(H100:H104)</f>
        <v>10206800</v>
      </c>
      <c r="I105" s="91">
        <f>SUM(I100:I104)</f>
        <v>6641964.3766335994</v>
      </c>
      <c r="J105" s="91">
        <f>SUM(J100:J104)</f>
        <v>16848764.376633599</v>
      </c>
      <c r="K105" s="2"/>
      <c r="L105" s="93"/>
    </row>
    <row r="106" spans="2:12" ht="12.75" thickBot="1" x14ac:dyDescent="0.3">
      <c r="B106" s="92"/>
      <c r="F106" s="153" t="s">
        <v>94</v>
      </c>
      <c r="G106" s="154"/>
      <c r="H106" s="155"/>
      <c r="I106" s="155"/>
      <c r="J106" s="155"/>
      <c r="K106" s="156"/>
      <c r="L106" s="93"/>
    </row>
    <row r="107" spans="2:12" ht="12.75" thickBot="1" x14ac:dyDescent="0.3">
      <c r="B107" s="92"/>
      <c r="F107" s="84" t="s">
        <v>18</v>
      </c>
      <c r="G107" s="85" t="s">
        <v>91</v>
      </c>
      <c r="H107" s="85" t="s">
        <v>19</v>
      </c>
      <c r="I107" s="85" t="s">
        <v>20</v>
      </c>
      <c r="J107" s="85" t="s">
        <v>21</v>
      </c>
      <c r="K107" s="86" t="s">
        <v>22</v>
      </c>
      <c r="L107" s="93"/>
    </row>
    <row r="108" spans="2:12" x14ac:dyDescent="0.25">
      <c r="B108" s="92"/>
      <c r="F108" s="87"/>
      <c r="G108" s="88"/>
      <c r="H108" s="42"/>
      <c r="I108" s="42"/>
      <c r="J108" s="42"/>
      <c r="K108" s="43">
        <f>Simulador!I19</f>
        <v>0</v>
      </c>
      <c r="L108" s="93"/>
    </row>
    <row r="109" spans="2:12" x14ac:dyDescent="0.25">
      <c r="B109" s="92"/>
      <c r="F109" s="13" t="str">
        <f t="shared" ref="F109:F113" si="33">IF(K108&lt;1,"",F108+1)</f>
        <v/>
      </c>
      <c r="G109" s="14">
        <f>G104+Simulador!H19</f>
        <v>128756567.53267199</v>
      </c>
      <c r="H109" s="14">
        <f>$K$18/$D$16</f>
        <v>2041360</v>
      </c>
      <c r="I109" s="14">
        <f>G109*$D$9</f>
        <v>1287565.6753267199</v>
      </c>
      <c r="J109" s="15">
        <f>H109+I109</f>
        <v>3328925.6753267199</v>
      </c>
      <c r="K109" s="16">
        <f t="shared" ref="K109:K113" si="34">IF(F109="",0,(K108-H109))</f>
        <v>0</v>
      </c>
      <c r="L109" s="93"/>
    </row>
    <row r="110" spans="2:12" x14ac:dyDescent="0.25">
      <c r="B110" s="92"/>
      <c r="F110" s="13" t="str">
        <f t="shared" si="33"/>
        <v/>
      </c>
      <c r="G110" s="14">
        <f>G109-H110</f>
        <v>126715207.53267199</v>
      </c>
      <c r="H110" s="14">
        <f>$K$18/$D$16</f>
        <v>2041360</v>
      </c>
      <c r="I110" s="14">
        <f>G110*$D$9</f>
        <v>1267152.07532672</v>
      </c>
      <c r="J110" s="15">
        <f t="shared" ref="J110:J113" si="35">H110+I110</f>
        <v>3308512.0753267203</v>
      </c>
      <c r="K110" s="16">
        <f t="shared" si="34"/>
        <v>0</v>
      </c>
      <c r="L110" s="93"/>
    </row>
    <row r="111" spans="2:12" x14ac:dyDescent="0.25">
      <c r="B111" s="92"/>
      <c r="F111" s="13" t="str">
        <f t="shared" si="33"/>
        <v/>
      </c>
      <c r="G111" s="14">
        <f>G110-H111</f>
        <v>124673847.53267199</v>
      </c>
      <c r="H111" s="14">
        <f>$K$18/$D$16</f>
        <v>2041360</v>
      </c>
      <c r="I111" s="14">
        <f>G111*$D$9</f>
        <v>1246738.4753267199</v>
      </c>
      <c r="J111" s="15">
        <f t="shared" si="35"/>
        <v>3288098.4753267197</v>
      </c>
      <c r="K111" s="16">
        <f t="shared" si="34"/>
        <v>0</v>
      </c>
      <c r="L111" s="93"/>
    </row>
    <row r="112" spans="2:12" x14ac:dyDescent="0.25">
      <c r="B112" s="92"/>
      <c r="F112" s="13" t="str">
        <f t="shared" si="33"/>
        <v/>
      </c>
      <c r="G112" s="14">
        <f>G111-H112</f>
        <v>122632487.53267199</v>
      </c>
      <c r="H112" s="14">
        <f>$K$18/$D$16</f>
        <v>2041360</v>
      </c>
      <c r="I112" s="14">
        <f>G112*$D$9</f>
        <v>1226324.8753267198</v>
      </c>
      <c r="J112" s="15">
        <f t="shared" si="35"/>
        <v>3267684.8753267201</v>
      </c>
      <c r="K112" s="16">
        <f t="shared" si="34"/>
        <v>0</v>
      </c>
      <c r="L112" s="93"/>
    </row>
    <row r="113" spans="2:12" x14ac:dyDescent="0.25">
      <c r="B113" s="92"/>
      <c r="F113" s="13" t="str">
        <f t="shared" si="33"/>
        <v/>
      </c>
      <c r="G113" s="14">
        <f>G112-H113</f>
        <v>120591127.53267199</v>
      </c>
      <c r="H113" s="14">
        <f>$K$18/$D$16</f>
        <v>2041360</v>
      </c>
      <c r="I113" s="14">
        <f>G113*$D$9</f>
        <v>1205911.27532672</v>
      </c>
      <c r="J113" s="15">
        <f t="shared" si="35"/>
        <v>3247271.27532672</v>
      </c>
      <c r="K113" s="16">
        <f t="shared" si="34"/>
        <v>0</v>
      </c>
      <c r="L113" s="93"/>
    </row>
    <row r="114" spans="2:12" ht="12.75" thickBot="1" x14ac:dyDescent="0.3">
      <c r="B114" s="92"/>
      <c r="F114" s="89" t="s">
        <v>23</v>
      </c>
      <c r="G114" s="90"/>
      <c r="H114" s="91">
        <f>SUM(H109:H113)</f>
        <v>10206800</v>
      </c>
      <c r="I114" s="91">
        <f>SUM(I109:I113)</f>
        <v>6233692.3766335994</v>
      </c>
      <c r="J114" s="91">
        <f>SUM(J109:J113)</f>
        <v>16440492.376633598</v>
      </c>
      <c r="K114" s="2"/>
      <c r="L114" s="93"/>
    </row>
    <row r="115" spans="2:12" x14ac:dyDescent="0.25">
      <c r="B115" s="92"/>
      <c r="L115" s="93"/>
    </row>
    <row r="116" spans="2:12" ht="12.75" thickBot="1" x14ac:dyDescent="0.3">
      <c r="B116" s="94"/>
      <c r="C116" s="95"/>
      <c r="D116" s="95"/>
      <c r="E116" s="95"/>
      <c r="F116" s="95"/>
      <c r="G116" s="95"/>
      <c r="H116" s="95"/>
      <c r="I116" s="95"/>
      <c r="J116" s="95"/>
      <c r="K116" s="95"/>
      <c r="L116" s="96"/>
    </row>
    <row r="117" spans="2:12" x14ac:dyDescent="0.25"/>
  </sheetData>
  <sheetProtection algorithmName="SHA-512" hashValue="powqr32JvTWXzHwQ0LL7xyF7yxp/S1ceXU835EiouPn7sM3Us5WxrE3s0DWpEcc0FfURX9vZlvA7Afrwo01WVg==" saltValue="fKL/5QIwXmAcuFITYl5gig==" spinCount="100000" sheet="1" objects="1" scenarios="1"/>
  <mergeCells count="16">
    <mergeCell ref="F106:K106"/>
    <mergeCell ref="F52:K52"/>
    <mergeCell ref="F61:K61"/>
    <mergeCell ref="F70:K70"/>
    <mergeCell ref="F79:K79"/>
    <mergeCell ref="F88:K88"/>
    <mergeCell ref="F16:K16"/>
    <mergeCell ref="F25:K25"/>
    <mergeCell ref="F34:K34"/>
    <mergeCell ref="F97:K97"/>
    <mergeCell ref="F43:K43"/>
    <mergeCell ref="F3:K3"/>
    <mergeCell ref="F4:K4"/>
    <mergeCell ref="F6:K6"/>
    <mergeCell ref="F7:K7"/>
    <mergeCell ref="C8:D8"/>
  </mergeCells>
  <conditionalFormatting sqref="D12">
    <cfRule type="cellIs" dxfId="0" priority="1" operator="greaterThan">
      <formula>0.95</formula>
    </cfRule>
  </conditionalFormatting>
  <dataValidations disablePrompts="1" count="1">
    <dataValidation type="list" errorStyle="warning" allowBlank="1" showInputMessage="1" showErrorMessage="1" errorTitle="Advertencia" error="Seleccionar solo los campos que están en la lista desplegable. " sqref="E10" xr:uid="{12C21CE6-30CC-4818-B5F8-4F4AA4DE7463}">
      <formula1>$O$41:$O$79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Simulador</vt:lpstr>
      <vt:lpstr>PP (40%)</vt:lpstr>
    </vt:vector>
  </TitlesOfParts>
  <Company>Universidad de los Andes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Andrea Vallejo Mora</dc:creator>
  <cp:lastModifiedBy>Julieth Fernanda Sanchez Latorre</cp:lastModifiedBy>
  <cp:lastPrinted>2026-04-23T13:52:04Z</cp:lastPrinted>
  <dcterms:created xsi:type="dcterms:W3CDTF">2016-11-08T19:29:37Z</dcterms:created>
  <dcterms:modified xsi:type="dcterms:W3CDTF">2026-06-03T16:07:41Z</dcterms:modified>
</cp:coreProperties>
</file>